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946FD330-F55B-4957-88E5-8F12CCE5C959}" xr6:coauthVersionLast="45" xr6:coauthVersionMax="45" xr10:uidLastSave="{00000000-0000-0000-0000-000000000000}"/>
  <bookViews>
    <workbookView xWindow="10890" yWindow="0" windowWidth="10440" windowHeight="10890" tabRatio="72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argentina_fallecidos" sheetId="2" r:id="rId6"/>
    <sheet name="Hoja2" sheetId="13" r:id="rId7"/>
  </sheets>
  <definedNames>
    <definedName name="_xlnm._FilterDatabase" localSheetId="5" hidden="1">argentina_fallecidos!$A$1:$D$930</definedName>
    <definedName name="_xlnm._FilterDatabase" localSheetId="0" hidden="1">argentina_gral!$A$1:$Q$183</definedName>
    <definedName name="_xlnm._FilterDatabase" localSheetId="1" hidden="1">casos_provincias!$A$1:$E$6409</definedName>
    <definedName name="_xlnm._FilterDatabase" localSheetId="6" hidden="1">Hoja2!$A$1:$X$285</definedName>
    <definedName name="_xlnm._FilterDatabase" localSheetId="2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69" i="3" l="1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D6769" i="3"/>
  <c r="D6768" i="3"/>
  <c r="D6767" i="3"/>
  <c r="D6766" i="3"/>
  <c r="D6765" i="3"/>
  <c r="D6764" i="3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Q283" i="1"/>
  <c r="R283" i="1"/>
  <c r="S283" i="1"/>
  <c r="I283" i="1"/>
  <c r="E283" i="1"/>
  <c r="C283" i="1"/>
  <c r="X9" i="13" l="1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7" i="13"/>
  <c r="X101" i="13"/>
  <c r="X102" i="13"/>
  <c r="X103" i="13"/>
  <c r="X104" i="13"/>
  <c r="X105" i="13"/>
  <c r="X106" i="13"/>
  <c r="X108" i="13"/>
  <c r="X113" i="13"/>
  <c r="X109" i="13"/>
  <c r="X110" i="13"/>
  <c r="X111" i="13"/>
  <c r="X112" i="13"/>
  <c r="X114" i="13"/>
  <c r="X115" i="13"/>
  <c r="X116" i="13"/>
  <c r="X123" i="13"/>
  <c r="X117" i="13"/>
  <c r="X118" i="13"/>
  <c r="X119" i="13"/>
  <c r="X120" i="13"/>
  <c r="X121" i="13"/>
  <c r="X122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8" i="13"/>
  <c r="W94" i="13"/>
  <c r="W95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U137" i="13"/>
  <c r="B107" i="13"/>
  <c r="U107" i="13" s="1"/>
  <c r="A107" i="13"/>
  <c r="A113" i="13" s="1"/>
  <c r="A123" i="13" s="1"/>
  <c r="R285" i="13"/>
  <c r="Q285" i="13"/>
  <c r="R284" i="13"/>
  <c r="Q284" i="13"/>
  <c r="L284" i="13"/>
  <c r="R283" i="13"/>
  <c r="Q283" i="13"/>
  <c r="L283" i="13"/>
  <c r="R282" i="13"/>
  <c r="Q282" i="13"/>
  <c r="L282" i="13"/>
  <c r="R281" i="13"/>
  <c r="Q281" i="13"/>
  <c r="L281" i="13"/>
  <c r="D281" i="13"/>
  <c r="R280" i="13"/>
  <c r="Q280" i="13"/>
  <c r="L280" i="13"/>
  <c r="R279" i="13"/>
  <c r="Q279" i="13"/>
  <c r="L279" i="13"/>
  <c r="R278" i="13"/>
  <c r="Q278" i="13"/>
  <c r="L278" i="13"/>
  <c r="R277" i="13"/>
  <c r="Q277" i="13"/>
  <c r="L277" i="13"/>
  <c r="R276" i="13"/>
  <c r="Q276" i="13"/>
  <c r="L276" i="13"/>
  <c r="R275" i="13"/>
  <c r="Q275" i="13"/>
  <c r="L275" i="13"/>
  <c r="R274" i="13"/>
  <c r="Q274" i="13"/>
  <c r="L274" i="13"/>
  <c r="R273" i="13"/>
  <c r="Q273" i="13"/>
  <c r="L273" i="13"/>
  <c r="R272" i="13"/>
  <c r="Q272" i="13"/>
  <c r="L272" i="13"/>
  <c r="R271" i="13"/>
  <c r="Q271" i="13"/>
  <c r="L271" i="13"/>
  <c r="R270" i="13"/>
  <c r="Q270" i="13"/>
  <c r="L270" i="13"/>
  <c r="R269" i="13"/>
  <c r="Q269" i="13"/>
  <c r="L269" i="13"/>
  <c r="R268" i="13"/>
  <c r="Q268" i="13"/>
  <c r="L268" i="13"/>
  <c r="R267" i="13"/>
  <c r="Q267" i="13"/>
  <c r="L267" i="13"/>
  <c r="R266" i="13"/>
  <c r="Q266" i="13"/>
  <c r="L266" i="13"/>
  <c r="R265" i="13"/>
  <c r="Q265" i="13"/>
  <c r="L265" i="13"/>
  <c r="R264" i="13"/>
  <c r="Q264" i="13"/>
  <c r="L264" i="13"/>
  <c r="R263" i="13"/>
  <c r="Q263" i="13"/>
  <c r="L263" i="13"/>
  <c r="R262" i="13"/>
  <c r="Q262" i="13"/>
  <c r="L262" i="13"/>
  <c r="R261" i="13"/>
  <c r="Q261" i="13"/>
  <c r="L261" i="13"/>
  <c r="R260" i="13"/>
  <c r="Q260" i="13"/>
  <c r="L260" i="13"/>
  <c r="R259" i="13"/>
  <c r="Q259" i="13"/>
  <c r="L259" i="13"/>
  <c r="R258" i="13"/>
  <c r="Q258" i="13"/>
  <c r="L258" i="13"/>
  <c r="R257" i="13"/>
  <c r="Q257" i="13"/>
  <c r="L257" i="13"/>
  <c r="R256" i="13"/>
  <c r="Q256" i="13"/>
  <c r="L256" i="13"/>
  <c r="R255" i="13"/>
  <c r="Q255" i="13"/>
  <c r="L255" i="13"/>
  <c r="R254" i="13"/>
  <c r="Q254" i="13"/>
  <c r="L254" i="13"/>
  <c r="R253" i="13"/>
  <c r="Q253" i="13"/>
  <c r="L253" i="13"/>
  <c r="R252" i="13"/>
  <c r="Q252" i="13"/>
  <c r="L252" i="13"/>
  <c r="R251" i="13"/>
  <c r="Q251" i="13"/>
  <c r="L251" i="13"/>
  <c r="R250" i="13"/>
  <c r="Q250" i="13"/>
  <c r="L250" i="13"/>
  <c r="R249" i="13"/>
  <c r="Q249" i="13"/>
  <c r="L249" i="13"/>
  <c r="Q248" i="13"/>
  <c r="L248" i="13"/>
  <c r="Q247" i="13"/>
  <c r="L247" i="13"/>
  <c r="Q246" i="13"/>
  <c r="L246" i="13"/>
  <c r="Q245" i="13"/>
  <c r="L245" i="13"/>
  <c r="Q244" i="13"/>
  <c r="L244" i="13"/>
  <c r="Q243" i="13"/>
  <c r="L243" i="13"/>
  <c r="Q242" i="13"/>
  <c r="L242" i="13"/>
  <c r="Q241" i="13"/>
  <c r="L241" i="13"/>
  <c r="Q240" i="13"/>
  <c r="L240" i="13"/>
  <c r="Q239" i="13"/>
  <c r="L239" i="13"/>
  <c r="Q238" i="13"/>
  <c r="L238" i="13"/>
  <c r="Q237" i="13"/>
  <c r="L237" i="13"/>
  <c r="Q236" i="13"/>
  <c r="Q235" i="13"/>
  <c r="Q234" i="13"/>
  <c r="L234" i="13"/>
  <c r="Q233" i="13"/>
  <c r="L233" i="13"/>
  <c r="Q232" i="13"/>
  <c r="L232" i="13"/>
  <c r="Q231" i="13"/>
  <c r="L231" i="13"/>
  <c r="Q230" i="13"/>
  <c r="L230" i="13"/>
  <c r="Q229" i="13"/>
  <c r="L229" i="13"/>
  <c r="Q228" i="13"/>
  <c r="L228" i="13"/>
  <c r="Q227" i="13"/>
  <c r="L227" i="13"/>
  <c r="Q226" i="13"/>
  <c r="L226" i="13"/>
  <c r="Q225" i="13"/>
  <c r="L225" i="13"/>
  <c r="Q224" i="13"/>
  <c r="L224" i="13"/>
  <c r="Q223" i="13"/>
  <c r="L223" i="13"/>
  <c r="Q222" i="13"/>
  <c r="L222" i="13"/>
  <c r="Q221" i="13"/>
  <c r="L221" i="13"/>
  <c r="Q220" i="13"/>
  <c r="L220" i="13"/>
  <c r="Q219" i="13"/>
  <c r="L219" i="13"/>
  <c r="Q218" i="13"/>
  <c r="L218" i="13"/>
  <c r="Q217" i="13"/>
  <c r="L217" i="13"/>
  <c r="Q216" i="13"/>
  <c r="L216" i="13"/>
  <c r="Q215" i="13"/>
  <c r="L215" i="13"/>
  <c r="Q214" i="13"/>
  <c r="L214" i="13"/>
  <c r="Q213" i="13"/>
  <c r="L213" i="13"/>
  <c r="Q212" i="13"/>
  <c r="L212" i="13"/>
  <c r="Q211" i="13"/>
  <c r="L211" i="13"/>
  <c r="Q210" i="13"/>
  <c r="L210" i="13"/>
  <c r="Q209" i="13"/>
  <c r="L209" i="13"/>
  <c r="Q208" i="13"/>
  <c r="L208" i="13"/>
  <c r="Q207" i="13"/>
  <c r="L207" i="13"/>
  <c r="Q206" i="13"/>
  <c r="L206" i="13"/>
  <c r="D206" i="13"/>
  <c r="Q205" i="13"/>
  <c r="K205" i="13"/>
  <c r="J205" i="13" s="1"/>
  <c r="D205" i="13"/>
  <c r="Q204" i="13"/>
  <c r="K204" i="13"/>
  <c r="J204" i="13"/>
  <c r="D204" i="13"/>
  <c r="Q203" i="13"/>
  <c r="K203" i="13"/>
  <c r="J203" i="13"/>
  <c r="Q202" i="13"/>
  <c r="K202" i="13"/>
  <c r="J202" i="13" s="1"/>
  <c r="D202" i="13"/>
  <c r="Q201" i="13"/>
  <c r="K201" i="13"/>
  <c r="J201" i="13" s="1"/>
  <c r="D201" i="13"/>
  <c r="Q200" i="13"/>
  <c r="K200" i="13"/>
  <c r="J200" i="13" s="1"/>
  <c r="D200" i="13"/>
  <c r="Q199" i="13"/>
  <c r="K199" i="13"/>
  <c r="J199" i="13" s="1"/>
  <c r="D199" i="13"/>
  <c r="Q198" i="13"/>
  <c r="K198" i="13"/>
  <c r="J198" i="13" s="1"/>
  <c r="D198" i="13"/>
  <c r="Q197" i="13"/>
  <c r="K197" i="13"/>
  <c r="J197" i="13" s="1"/>
  <c r="D197" i="13"/>
  <c r="Q196" i="13"/>
  <c r="K196" i="13"/>
  <c r="J196" i="13" s="1"/>
  <c r="D196" i="13"/>
  <c r="Q195" i="13"/>
  <c r="K195" i="13"/>
  <c r="J195" i="13" s="1"/>
  <c r="D195" i="13"/>
  <c r="Q194" i="13"/>
  <c r="K194" i="13"/>
  <c r="J194" i="13" s="1"/>
  <c r="D194" i="13"/>
  <c r="Q193" i="13"/>
  <c r="K193" i="13"/>
  <c r="J193" i="13" s="1"/>
  <c r="D193" i="13"/>
  <c r="Q192" i="13"/>
  <c r="K192" i="13"/>
  <c r="J192" i="13" s="1"/>
  <c r="D192" i="13"/>
  <c r="Q191" i="13"/>
  <c r="K191" i="13"/>
  <c r="J191" i="13" s="1"/>
  <c r="D191" i="13"/>
  <c r="Q190" i="13"/>
  <c r="K190" i="13"/>
  <c r="J190" i="13" s="1"/>
  <c r="D190" i="13"/>
  <c r="Q189" i="13"/>
  <c r="K189" i="13"/>
  <c r="J189" i="13" s="1"/>
  <c r="D189" i="13"/>
  <c r="Q188" i="13"/>
  <c r="K188" i="13"/>
  <c r="J188" i="13" s="1"/>
  <c r="D188" i="13"/>
  <c r="Q187" i="13"/>
  <c r="K187" i="13"/>
  <c r="J187" i="13" s="1"/>
  <c r="D187" i="13"/>
  <c r="Q186" i="13"/>
  <c r="K186" i="13"/>
  <c r="J186" i="13" s="1"/>
  <c r="D186" i="13"/>
  <c r="Q185" i="13"/>
  <c r="K185" i="13"/>
  <c r="J185" i="13" s="1"/>
  <c r="D185" i="13"/>
  <c r="Q184" i="13"/>
  <c r="K184" i="13"/>
  <c r="J184" i="13" s="1"/>
  <c r="D184" i="13"/>
  <c r="Q183" i="13"/>
  <c r="K183" i="13"/>
  <c r="J183" i="13" s="1"/>
  <c r="D183" i="13"/>
  <c r="Q182" i="13"/>
  <c r="K182" i="13"/>
  <c r="J182" i="13" s="1"/>
  <c r="D182" i="13"/>
  <c r="Q181" i="13"/>
  <c r="K181" i="13"/>
  <c r="J181" i="13" s="1"/>
  <c r="D181" i="13"/>
  <c r="Q180" i="13"/>
  <c r="K180" i="13"/>
  <c r="J180" i="13" s="1"/>
  <c r="D180" i="13"/>
  <c r="Q179" i="13"/>
  <c r="K179" i="13"/>
  <c r="J179" i="13" s="1"/>
  <c r="D179" i="13"/>
  <c r="Q178" i="13"/>
  <c r="K178" i="13"/>
  <c r="J178" i="13" s="1"/>
  <c r="D178" i="13"/>
  <c r="Q177" i="13"/>
  <c r="K177" i="13"/>
  <c r="J177" i="13" s="1"/>
  <c r="Q176" i="13"/>
  <c r="K176" i="13"/>
  <c r="J176" i="13" s="1"/>
  <c r="D176" i="13"/>
  <c r="Q175" i="13"/>
  <c r="K175" i="13"/>
  <c r="J175" i="13" s="1"/>
  <c r="D175" i="13"/>
  <c r="Q174" i="13"/>
  <c r="K174" i="13"/>
  <c r="J174" i="13" s="1"/>
  <c r="D174" i="13"/>
  <c r="Q173" i="13"/>
  <c r="P173" i="13"/>
  <c r="K173" i="13"/>
  <c r="J173" i="13" s="1"/>
  <c r="D173" i="13"/>
  <c r="Q172" i="13"/>
  <c r="P172" i="13"/>
  <c r="K172" i="13"/>
  <c r="J172" i="13" s="1"/>
  <c r="D172" i="13"/>
  <c r="Q171" i="13"/>
  <c r="P171" i="13"/>
  <c r="K171" i="13"/>
  <c r="J171" i="13" s="1"/>
  <c r="D171" i="13"/>
  <c r="Q170" i="13"/>
  <c r="P170" i="13"/>
  <c r="K170" i="13"/>
  <c r="J170" i="13" s="1"/>
  <c r="D170" i="13"/>
  <c r="Q169" i="13"/>
  <c r="P169" i="13"/>
  <c r="K169" i="13"/>
  <c r="J169" i="13" s="1"/>
  <c r="D169" i="13"/>
  <c r="Q168" i="13"/>
  <c r="P168" i="13"/>
  <c r="K168" i="13"/>
  <c r="J168" i="13" s="1"/>
  <c r="D168" i="13"/>
  <c r="Q167" i="13"/>
  <c r="P167" i="13"/>
  <c r="K167" i="13"/>
  <c r="J167" i="13" s="1"/>
  <c r="D167" i="13"/>
  <c r="Q166" i="13"/>
  <c r="P166" i="13"/>
  <c r="K166" i="13"/>
  <c r="J166" i="13" s="1"/>
  <c r="D166" i="13"/>
  <c r="Q165" i="13"/>
  <c r="P165" i="13"/>
  <c r="K165" i="13"/>
  <c r="J165" i="13" s="1"/>
  <c r="D165" i="13"/>
  <c r="Q164" i="13"/>
  <c r="P164" i="13"/>
  <c r="K164" i="13"/>
  <c r="J164" i="13" s="1"/>
  <c r="Q163" i="13"/>
  <c r="P163" i="13"/>
  <c r="K163" i="13"/>
  <c r="J163" i="13" s="1"/>
  <c r="Q162" i="13"/>
  <c r="P162" i="13"/>
  <c r="K162" i="13"/>
  <c r="J162" i="13" s="1"/>
  <c r="Q161" i="13"/>
  <c r="P161" i="13"/>
  <c r="K161" i="13"/>
  <c r="J161" i="13" s="1"/>
  <c r="Q160" i="13"/>
  <c r="P160" i="13"/>
  <c r="K160" i="13"/>
  <c r="J160" i="13" s="1"/>
  <c r="D160" i="13"/>
  <c r="Q159" i="13"/>
  <c r="P159" i="13"/>
  <c r="K159" i="13"/>
  <c r="J159" i="13" s="1"/>
  <c r="D159" i="13"/>
  <c r="Q158" i="13"/>
  <c r="P158" i="13"/>
  <c r="K158" i="13"/>
  <c r="J158" i="13" s="1"/>
  <c r="Q157" i="13"/>
  <c r="P157" i="13"/>
  <c r="K157" i="13"/>
  <c r="J157" i="13" s="1"/>
  <c r="D157" i="13"/>
  <c r="Q156" i="13"/>
  <c r="P156" i="13"/>
  <c r="K156" i="13"/>
  <c r="J156" i="13" s="1"/>
  <c r="D156" i="13"/>
  <c r="Q155" i="13"/>
  <c r="P155" i="13"/>
  <c r="K155" i="13"/>
  <c r="J155" i="13" s="1"/>
  <c r="I155" i="13"/>
  <c r="D155" i="13"/>
  <c r="Q154" i="13"/>
  <c r="P154" i="13"/>
  <c r="K154" i="13"/>
  <c r="J154" i="13" s="1"/>
  <c r="D154" i="13"/>
  <c r="Q153" i="13"/>
  <c r="P153" i="13"/>
  <c r="K153" i="13"/>
  <c r="J153" i="13" s="1"/>
  <c r="E153" i="13"/>
  <c r="Q152" i="13"/>
  <c r="P152" i="13"/>
  <c r="K152" i="13"/>
  <c r="J152" i="13" s="1"/>
  <c r="D152" i="13"/>
  <c r="Q151" i="13"/>
  <c r="P151" i="13"/>
  <c r="K151" i="13"/>
  <c r="I151" i="13"/>
  <c r="D151" i="13"/>
  <c r="Q150" i="13"/>
  <c r="P150" i="13"/>
  <c r="K150" i="13"/>
  <c r="J150" i="13" s="1"/>
  <c r="Q149" i="13"/>
  <c r="P149" i="13"/>
  <c r="K149" i="13"/>
  <c r="J149" i="13" s="1"/>
  <c r="Q148" i="13"/>
  <c r="P148" i="13"/>
  <c r="I148" i="13"/>
  <c r="D148" i="13"/>
  <c r="Q147" i="13"/>
  <c r="P147" i="13"/>
  <c r="D147" i="13"/>
  <c r="Q146" i="13"/>
  <c r="P146" i="13"/>
  <c r="I146" i="13"/>
  <c r="Q145" i="13"/>
  <c r="Q144" i="13"/>
  <c r="P144" i="13"/>
  <c r="Q143" i="13"/>
  <c r="P143" i="13"/>
  <c r="Q142" i="13"/>
  <c r="K142" i="13"/>
  <c r="B142" i="13"/>
  <c r="Q141" i="13"/>
  <c r="P141" i="13"/>
  <c r="S140" i="13"/>
  <c r="R140" i="13"/>
  <c r="Q140" i="13"/>
  <c r="P140" i="13"/>
  <c r="K140" i="13"/>
  <c r="J140" i="13" s="1"/>
  <c r="Q139" i="13"/>
  <c r="K139" i="13"/>
  <c r="S138" i="13"/>
  <c r="R138" i="13"/>
  <c r="Q138" i="13"/>
  <c r="P138" i="13"/>
  <c r="K138" i="13"/>
  <c r="S137" i="13"/>
  <c r="R137" i="13"/>
  <c r="Q137" i="13"/>
  <c r="P137" i="13"/>
  <c r="K137" i="13"/>
  <c r="S136" i="13"/>
  <c r="R136" i="13"/>
  <c r="Q136" i="13"/>
  <c r="P136" i="13"/>
  <c r="L136" i="13"/>
  <c r="S135" i="13"/>
  <c r="R135" i="13"/>
  <c r="Q135" i="13"/>
  <c r="L135" i="13"/>
  <c r="S134" i="13"/>
  <c r="R134" i="13"/>
  <c r="Q134" i="13"/>
  <c r="L134" i="13"/>
  <c r="S133" i="13"/>
  <c r="R133" i="13"/>
  <c r="Q133" i="13"/>
  <c r="P133" i="13"/>
  <c r="S132" i="13"/>
  <c r="R132" i="13"/>
  <c r="Q132" i="13"/>
  <c r="P132" i="13"/>
  <c r="S131" i="13"/>
  <c r="R131" i="13"/>
  <c r="Q131" i="13"/>
  <c r="P131" i="13"/>
  <c r="S130" i="13"/>
  <c r="R130" i="13"/>
  <c r="Q130" i="13"/>
  <c r="P130" i="13"/>
  <c r="K130" i="13"/>
  <c r="Q129" i="13"/>
  <c r="P129" i="13"/>
  <c r="Q128" i="13"/>
  <c r="Q127" i="13"/>
  <c r="L127" i="13"/>
  <c r="Q126" i="13"/>
  <c r="K126" i="13"/>
  <c r="J126" i="13" s="1"/>
  <c r="Q125" i="13"/>
  <c r="S124" i="13"/>
  <c r="R124" i="13"/>
  <c r="Q124" i="13"/>
  <c r="P124" i="13"/>
  <c r="K124" i="13"/>
  <c r="Q122" i="13"/>
  <c r="K122" i="13"/>
  <c r="Q121" i="13"/>
  <c r="E121" i="13"/>
  <c r="C121" i="13"/>
  <c r="S120" i="13"/>
  <c r="R120" i="13"/>
  <c r="Q120" i="13"/>
  <c r="P120" i="13"/>
  <c r="S119" i="13"/>
  <c r="R119" i="13"/>
  <c r="Q119" i="13"/>
  <c r="P119" i="13"/>
  <c r="S118" i="13"/>
  <c r="R118" i="13"/>
  <c r="Q118" i="13"/>
  <c r="P118" i="13"/>
  <c r="S117" i="13"/>
  <c r="R117" i="13"/>
  <c r="Q117" i="13"/>
  <c r="P117" i="13"/>
  <c r="Q116" i="13"/>
  <c r="Q115" i="13"/>
  <c r="P115" i="13"/>
  <c r="E115" i="13"/>
  <c r="S115" i="13" s="1"/>
  <c r="S114" i="13"/>
  <c r="R114" i="13"/>
  <c r="Q114" i="13"/>
  <c r="P114" i="13"/>
  <c r="S112" i="13"/>
  <c r="R112" i="13"/>
  <c r="Q112" i="13"/>
  <c r="P112" i="13"/>
  <c r="S111" i="13"/>
  <c r="R111" i="13"/>
  <c r="Q111" i="13"/>
  <c r="P111" i="13"/>
  <c r="S110" i="13"/>
  <c r="R110" i="13"/>
  <c r="Q110" i="13"/>
  <c r="P110" i="13"/>
  <c r="S109" i="13"/>
  <c r="R109" i="13"/>
  <c r="Q109" i="13"/>
  <c r="P109" i="13"/>
  <c r="S108" i="13"/>
  <c r="R108" i="13"/>
  <c r="Q108" i="13"/>
  <c r="P108" i="13"/>
  <c r="S106" i="13"/>
  <c r="R106" i="13"/>
  <c r="Q106" i="13"/>
  <c r="P106" i="13"/>
  <c r="S105" i="13"/>
  <c r="R105" i="13"/>
  <c r="Q105" i="13"/>
  <c r="P105" i="13"/>
  <c r="S104" i="13"/>
  <c r="R104" i="13"/>
  <c r="Q104" i="13"/>
  <c r="P104" i="13"/>
  <c r="S103" i="13"/>
  <c r="R103" i="13"/>
  <c r="Q103" i="13"/>
  <c r="P103" i="13"/>
  <c r="S102" i="13"/>
  <c r="R102" i="13"/>
  <c r="Q102" i="13"/>
  <c r="P102" i="13"/>
  <c r="S101" i="13"/>
  <c r="R101" i="13"/>
  <c r="Q101" i="13"/>
  <c r="P101" i="13"/>
  <c r="S100" i="13"/>
  <c r="R100" i="13"/>
  <c r="Q100" i="13"/>
  <c r="P100" i="13"/>
  <c r="S99" i="13"/>
  <c r="R99" i="13"/>
  <c r="Q99" i="13"/>
  <c r="P99" i="13"/>
  <c r="S98" i="13"/>
  <c r="R98" i="13"/>
  <c r="Q98" i="13"/>
  <c r="P98" i="13"/>
  <c r="S97" i="13"/>
  <c r="R97" i="13"/>
  <c r="Q97" i="13"/>
  <c r="P97" i="13"/>
  <c r="S96" i="13"/>
  <c r="R96" i="13"/>
  <c r="Q96" i="13"/>
  <c r="P96" i="13"/>
  <c r="S95" i="13"/>
  <c r="R95" i="13"/>
  <c r="Q95" i="13"/>
  <c r="P95" i="13"/>
  <c r="S94" i="13"/>
  <c r="R94" i="13"/>
  <c r="Q94" i="13"/>
  <c r="P94" i="13"/>
  <c r="S93" i="13"/>
  <c r="R93" i="13"/>
  <c r="Q93" i="13"/>
  <c r="P93" i="13"/>
  <c r="S92" i="13"/>
  <c r="R92" i="13"/>
  <c r="Q92" i="13"/>
  <c r="P92" i="13"/>
  <c r="S91" i="13"/>
  <c r="R91" i="13"/>
  <c r="Q91" i="13"/>
  <c r="P91" i="13"/>
  <c r="S90" i="13"/>
  <c r="R90" i="13"/>
  <c r="Q90" i="13"/>
  <c r="P90" i="13"/>
  <c r="S89" i="13"/>
  <c r="R89" i="13"/>
  <c r="Q89" i="13"/>
  <c r="P89" i="13"/>
  <c r="S88" i="13"/>
  <c r="R88" i="13"/>
  <c r="Q88" i="13"/>
  <c r="P88" i="13"/>
  <c r="S87" i="13"/>
  <c r="R87" i="13"/>
  <c r="Q87" i="13"/>
  <c r="P87" i="13"/>
  <c r="S86" i="13"/>
  <c r="R86" i="13"/>
  <c r="Q86" i="13"/>
  <c r="P86" i="13"/>
  <c r="S85" i="13"/>
  <c r="R85" i="13"/>
  <c r="Q85" i="13"/>
  <c r="P85" i="13"/>
  <c r="S84" i="13"/>
  <c r="R84" i="13"/>
  <c r="Q84" i="13"/>
  <c r="P84" i="13"/>
  <c r="S83" i="13"/>
  <c r="R83" i="13"/>
  <c r="Q83" i="13"/>
  <c r="P83" i="13"/>
  <c r="S82" i="13"/>
  <c r="R82" i="13"/>
  <c r="Q82" i="13"/>
  <c r="P82" i="13"/>
  <c r="S81" i="13"/>
  <c r="R81" i="13"/>
  <c r="Q81" i="13"/>
  <c r="P81" i="13"/>
  <c r="S80" i="13"/>
  <c r="R80" i="13"/>
  <c r="Q80" i="13"/>
  <c r="P80" i="13"/>
  <c r="S79" i="13"/>
  <c r="R79" i="13"/>
  <c r="Q79" i="13"/>
  <c r="P79" i="13"/>
  <c r="S78" i="13"/>
  <c r="R78" i="13"/>
  <c r="Q78" i="13"/>
  <c r="P78" i="13"/>
  <c r="S77" i="13"/>
  <c r="R77" i="13"/>
  <c r="Q77" i="13"/>
  <c r="P77" i="13"/>
  <c r="S76" i="13"/>
  <c r="R76" i="13"/>
  <c r="Q76" i="13"/>
  <c r="P76" i="13"/>
  <c r="S75" i="13"/>
  <c r="R75" i="13"/>
  <c r="Q75" i="13"/>
  <c r="P75" i="13"/>
  <c r="S74" i="13"/>
  <c r="R74" i="13"/>
  <c r="Q74" i="13"/>
  <c r="P74" i="13"/>
  <c r="S73" i="13"/>
  <c r="R73" i="13"/>
  <c r="Q73" i="13"/>
  <c r="P73" i="13"/>
  <c r="S72" i="13"/>
  <c r="R72" i="13"/>
  <c r="Q72" i="13"/>
  <c r="P72" i="13"/>
  <c r="S71" i="13"/>
  <c r="R71" i="13"/>
  <c r="Q71" i="13"/>
  <c r="P71" i="13"/>
  <c r="S70" i="13"/>
  <c r="R70" i="13"/>
  <c r="Q70" i="13"/>
  <c r="P70" i="13"/>
  <c r="S69" i="13"/>
  <c r="R69" i="13"/>
  <c r="Q69" i="13"/>
  <c r="P69" i="13"/>
  <c r="S68" i="13"/>
  <c r="R68" i="13"/>
  <c r="Q68" i="13"/>
  <c r="P68" i="13"/>
  <c r="S67" i="13"/>
  <c r="R67" i="13"/>
  <c r="Q67" i="13"/>
  <c r="P67" i="13"/>
  <c r="S66" i="13"/>
  <c r="R66" i="13"/>
  <c r="Q66" i="13"/>
  <c r="P66" i="13"/>
  <c r="S65" i="13"/>
  <c r="R65" i="13"/>
  <c r="Q65" i="13"/>
  <c r="P65" i="13"/>
  <c r="S64" i="13"/>
  <c r="R64" i="13"/>
  <c r="Q64" i="13"/>
  <c r="P64" i="13"/>
  <c r="S63" i="13"/>
  <c r="R63" i="13"/>
  <c r="Q63" i="13"/>
  <c r="P63" i="13"/>
  <c r="S62" i="13"/>
  <c r="R62" i="13"/>
  <c r="Q62" i="13"/>
  <c r="P62" i="13"/>
  <c r="S61" i="13"/>
  <c r="R61" i="13"/>
  <c r="Q61" i="13"/>
  <c r="P61" i="13"/>
  <c r="S60" i="13"/>
  <c r="R60" i="13"/>
  <c r="Q60" i="13"/>
  <c r="P60" i="13"/>
  <c r="S59" i="13"/>
  <c r="R59" i="13"/>
  <c r="Q59" i="13"/>
  <c r="P59" i="13"/>
  <c r="S58" i="13"/>
  <c r="R58" i="13"/>
  <c r="Q58" i="13"/>
  <c r="P58" i="13"/>
  <c r="S57" i="13"/>
  <c r="R57" i="13"/>
  <c r="Q57" i="13"/>
  <c r="P57" i="13"/>
  <c r="S56" i="13"/>
  <c r="R56" i="13"/>
  <c r="Q56" i="13"/>
  <c r="P56" i="13"/>
  <c r="S55" i="13"/>
  <c r="R55" i="13"/>
  <c r="Q55" i="13"/>
  <c r="P55" i="13"/>
  <c r="S54" i="13"/>
  <c r="R54" i="13"/>
  <c r="Q54" i="13"/>
  <c r="P54" i="13"/>
  <c r="S53" i="13"/>
  <c r="R53" i="13"/>
  <c r="Q53" i="13"/>
  <c r="P53" i="13"/>
  <c r="S52" i="13"/>
  <c r="R52" i="13"/>
  <c r="Q52" i="13"/>
  <c r="P52" i="13"/>
  <c r="S51" i="13"/>
  <c r="R51" i="13"/>
  <c r="Q51" i="13"/>
  <c r="P51" i="13"/>
  <c r="S50" i="13"/>
  <c r="R50" i="13"/>
  <c r="Q50" i="13"/>
  <c r="P50" i="13"/>
  <c r="S49" i="13"/>
  <c r="R49" i="13"/>
  <c r="Q49" i="13"/>
  <c r="P49" i="13"/>
  <c r="S48" i="13"/>
  <c r="R48" i="13"/>
  <c r="Q48" i="13"/>
  <c r="P48" i="13"/>
  <c r="S47" i="13"/>
  <c r="R47" i="13"/>
  <c r="Q47" i="13"/>
  <c r="P47" i="13"/>
  <c r="S46" i="13"/>
  <c r="R46" i="13"/>
  <c r="Q46" i="13"/>
  <c r="P46" i="13"/>
  <c r="S45" i="13"/>
  <c r="R45" i="13"/>
  <c r="Q45" i="13"/>
  <c r="P45" i="13"/>
  <c r="S44" i="13"/>
  <c r="R44" i="13"/>
  <c r="Q44" i="13"/>
  <c r="P44" i="13"/>
  <c r="S43" i="13"/>
  <c r="R43" i="13"/>
  <c r="Q43" i="13"/>
  <c r="P43" i="13"/>
  <c r="S42" i="13"/>
  <c r="R42" i="13"/>
  <c r="Q42" i="13"/>
  <c r="P42" i="13"/>
  <c r="S41" i="13"/>
  <c r="R41" i="13"/>
  <c r="Q41" i="13"/>
  <c r="P41" i="13"/>
  <c r="S40" i="13"/>
  <c r="R40" i="13"/>
  <c r="Q40" i="13"/>
  <c r="P40" i="13"/>
  <c r="S39" i="13"/>
  <c r="R39" i="13"/>
  <c r="Q39" i="13"/>
  <c r="P39" i="13"/>
  <c r="S38" i="13"/>
  <c r="R38" i="13"/>
  <c r="Q38" i="13"/>
  <c r="P38" i="13"/>
  <c r="S37" i="13"/>
  <c r="R37" i="13"/>
  <c r="Q37" i="13"/>
  <c r="P37" i="13"/>
  <c r="S36" i="13"/>
  <c r="R36" i="13"/>
  <c r="Q36" i="13"/>
  <c r="P36" i="13"/>
  <c r="S35" i="13"/>
  <c r="R35" i="13"/>
  <c r="Q35" i="13"/>
  <c r="P35" i="13"/>
  <c r="S34" i="13"/>
  <c r="R34" i="13"/>
  <c r="Q34" i="13"/>
  <c r="P34" i="13"/>
  <c r="S33" i="13"/>
  <c r="R33" i="13"/>
  <c r="Q33" i="13"/>
  <c r="P33" i="13"/>
  <c r="S32" i="13"/>
  <c r="R32" i="13"/>
  <c r="Q32" i="13"/>
  <c r="P32" i="13"/>
  <c r="S31" i="13"/>
  <c r="R31" i="13"/>
  <c r="Q31" i="13"/>
  <c r="P31" i="13"/>
  <c r="S30" i="13"/>
  <c r="R30" i="13"/>
  <c r="Q30" i="13"/>
  <c r="P30" i="13"/>
  <c r="S29" i="13"/>
  <c r="R29" i="13"/>
  <c r="Q29" i="13"/>
  <c r="P29" i="13"/>
  <c r="S28" i="13"/>
  <c r="R28" i="13"/>
  <c r="Q28" i="13"/>
  <c r="P28" i="13"/>
  <c r="S27" i="13"/>
  <c r="R27" i="13"/>
  <c r="Q27" i="13"/>
  <c r="P27" i="13"/>
  <c r="S26" i="13"/>
  <c r="R26" i="13"/>
  <c r="Q26" i="13"/>
  <c r="P26" i="13"/>
  <c r="S25" i="13"/>
  <c r="R25" i="13"/>
  <c r="Q25" i="13"/>
  <c r="P25" i="13"/>
  <c r="S24" i="13"/>
  <c r="R24" i="13"/>
  <c r="Q24" i="13"/>
  <c r="P24" i="13"/>
  <c r="S23" i="13"/>
  <c r="R23" i="13"/>
  <c r="Q23" i="13"/>
  <c r="P23" i="13"/>
  <c r="S22" i="13"/>
  <c r="R22" i="13"/>
  <c r="Q22" i="13"/>
  <c r="P22" i="13"/>
  <c r="S21" i="13"/>
  <c r="R21" i="13"/>
  <c r="Q21" i="13"/>
  <c r="P21" i="13"/>
  <c r="S20" i="13"/>
  <c r="R20" i="13"/>
  <c r="Q20" i="13"/>
  <c r="P20" i="13"/>
  <c r="S19" i="13"/>
  <c r="R19" i="13"/>
  <c r="Q19" i="13"/>
  <c r="P19" i="13"/>
  <c r="S18" i="13"/>
  <c r="R18" i="13"/>
  <c r="Q18" i="13"/>
  <c r="P18" i="13"/>
  <c r="S17" i="13"/>
  <c r="R17" i="13"/>
  <c r="Q17" i="13"/>
  <c r="P17" i="13"/>
  <c r="S16" i="13"/>
  <c r="R16" i="13"/>
  <c r="Q16" i="13"/>
  <c r="S15" i="13"/>
  <c r="R15" i="13"/>
  <c r="Q15" i="13"/>
  <c r="S14" i="13"/>
  <c r="R14" i="13"/>
  <c r="Q14" i="13"/>
  <c r="Q13" i="13"/>
  <c r="Q12" i="13"/>
  <c r="Q11" i="13"/>
  <c r="Q10" i="13"/>
  <c r="Q9" i="13"/>
  <c r="Q8" i="13"/>
  <c r="Q7" i="13"/>
  <c r="Q6" i="13"/>
  <c r="Q282" i="1"/>
  <c r="F6722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30" i="3"/>
  <c r="D6729" i="3"/>
  <c r="D6728" i="3"/>
  <c r="D6727" i="3"/>
  <c r="D6726" i="3"/>
  <c r="D6725" i="3"/>
  <c r="D6724" i="3"/>
  <c r="D6723" i="3"/>
  <c r="D6722" i="3"/>
  <c r="C282" i="1"/>
  <c r="E282" i="1"/>
  <c r="S282" i="1" s="1"/>
  <c r="I282" i="1"/>
  <c r="R282" i="1"/>
  <c r="W96" i="13" l="1"/>
  <c r="W98" i="13"/>
  <c r="W97" i="13"/>
  <c r="W100" i="13"/>
  <c r="E116" i="13"/>
  <c r="W101" i="13"/>
  <c r="R115" i="13"/>
  <c r="C107" i="13"/>
  <c r="S121" i="13"/>
  <c r="R121" i="13"/>
  <c r="P121" i="13"/>
  <c r="B113" i="13" l="1"/>
  <c r="W99" i="13" s="1"/>
  <c r="V107" i="13"/>
  <c r="W108" i="13" l="1"/>
  <c r="W103" i="13"/>
  <c r="W102" i="13"/>
  <c r="W105" i="13"/>
  <c r="W106" i="13"/>
  <c r="U113" i="13"/>
  <c r="W115" i="13"/>
  <c r="C113" i="13"/>
  <c r="C139" i="13" l="1"/>
  <c r="V113" i="13"/>
  <c r="W116" i="13" l="1"/>
  <c r="W111" i="13"/>
  <c r="W104" i="13"/>
  <c r="W109" i="13"/>
  <c r="W114" i="13"/>
  <c r="W110" i="13"/>
  <c r="W112" i="13"/>
  <c r="W120" i="13"/>
  <c r="W117" i="13"/>
  <c r="W121" i="13"/>
  <c r="W118" i="13"/>
  <c r="W122" i="13"/>
  <c r="W119" i="13"/>
  <c r="S139" i="13"/>
  <c r="R139" i="13"/>
  <c r="C116" i="13" l="1"/>
  <c r="P116" i="13" l="1"/>
  <c r="S116" i="13"/>
  <c r="R116" i="13"/>
  <c r="S278" i="1" l="1"/>
  <c r="S279" i="1"/>
  <c r="S280" i="1"/>
  <c r="S281" i="1"/>
  <c r="P277" i="1" l="1"/>
  <c r="P278" i="1"/>
  <c r="P279" i="1"/>
  <c r="P280" i="1"/>
  <c r="P281" i="1"/>
  <c r="L277" i="1"/>
  <c r="L278" i="1"/>
  <c r="L279" i="1"/>
  <c r="L280" i="1"/>
  <c r="L281" i="1"/>
  <c r="R281" i="1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D6698" i="3"/>
  <c r="Q281" i="1"/>
  <c r="I281" i="1"/>
  <c r="E281" i="1"/>
  <c r="C281" i="1"/>
  <c r="F6675" i="3"/>
  <c r="F6679" i="3"/>
  <c r="F6683" i="3"/>
  <c r="F6687" i="3"/>
  <c r="F6691" i="3"/>
  <c r="F6695" i="3"/>
  <c r="F6697" i="3"/>
  <c r="F6696" i="3"/>
  <c r="F6694" i="3"/>
  <c r="F6693" i="3"/>
  <c r="F6692" i="3"/>
  <c r="F6690" i="3"/>
  <c r="F6689" i="3"/>
  <c r="F6688" i="3"/>
  <c r="F6686" i="3"/>
  <c r="F6685" i="3"/>
  <c r="F6684" i="3"/>
  <c r="F6682" i="3"/>
  <c r="F6681" i="3"/>
  <c r="F6680" i="3"/>
  <c r="F6678" i="3"/>
  <c r="F6677" i="3"/>
  <c r="F6676" i="3"/>
  <c r="F6674" i="3"/>
  <c r="D6697" i="3"/>
  <c r="D6696" i="3"/>
  <c r="D6695" i="3"/>
  <c r="D6694" i="3"/>
  <c r="D6693" i="3"/>
  <c r="D6692" i="3"/>
  <c r="D6691" i="3"/>
  <c r="D6690" i="3"/>
  <c r="D6689" i="3"/>
  <c r="D6688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Q280" i="1"/>
  <c r="R280" i="1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Q279" i="1"/>
  <c r="R279" i="1"/>
  <c r="Q278" i="1"/>
  <c r="R278" i="1"/>
  <c r="D278" i="1"/>
  <c r="L274" i="1"/>
  <c r="L275" i="1"/>
  <c r="L276" i="1"/>
  <c r="Q277" i="1"/>
  <c r="R277" i="1"/>
  <c r="Q276" i="1" l="1"/>
  <c r="R276" i="1"/>
  <c r="Q275" i="1" l="1"/>
  <c r="R275" i="1"/>
  <c r="L273" i="1"/>
  <c r="Q274" i="1"/>
  <c r="R274" i="1"/>
  <c r="L268" i="1" l="1"/>
  <c r="L269" i="1"/>
  <c r="L270" i="1"/>
  <c r="L271" i="1"/>
  <c r="L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Q273" i="1"/>
  <c r="R273" i="1"/>
  <c r="Q272" i="1"/>
  <c r="R272" i="1"/>
  <c r="Q271" i="1"/>
  <c r="R271" i="1"/>
  <c r="Q270" i="1"/>
  <c r="R270" i="1"/>
  <c r="Q269" i="1"/>
  <c r="R269" i="1"/>
  <c r="L264" i="1"/>
  <c r="L265" i="1"/>
  <c r="L266" i="1"/>
  <c r="L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Q268" i="1"/>
  <c r="R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I267" i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Q267" i="1"/>
  <c r="R267" i="1"/>
  <c r="E6338" i="3"/>
  <c r="E6358" i="3"/>
  <c r="E6352" i="3"/>
  <c r="E6343" i="3"/>
  <c r="E6341" i="3"/>
  <c r="E6339" i="3"/>
  <c r="E6354" i="3"/>
  <c r="E6350" i="3"/>
  <c r="E6349" i="3"/>
  <c r="E6345" i="3"/>
  <c r="Q266" i="1"/>
  <c r="R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Q265" i="1"/>
  <c r="R265" i="1"/>
  <c r="Q264" i="1"/>
  <c r="R264" i="1"/>
  <c r="L260" i="1" l="1"/>
  <c r="L261" i="1"/>
  <c r="L262" i="1"/>
  <c r="L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Q263" i="1"/>
  <c r="R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Q262" i="1"/>
  <c r="R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Q261" i="1"/>
  <c r="R261" i="1"/>
  <c r="L258" i="1" l="1"/>
  <c r="L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Q260" i="1"/>
  <c r="R260" i="1"/>
  <c r="E6190" i="3"/>
  <c r="E6189" i="3"/>
  <c r="E6185" i="3"/>
  <c r="E6177" i="3"/>
  <c r="E6175" i="3"/>
  <c r="E6173" i="3"/>
  <c r="E6171" i="3"/>
  <c r="E6170" i="3"/>
  <c r="E6192" i="3"/>
  <c r="E6182" i="3"/>
  <c r="Q259" i="1"/>
  <c r="R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Q258" i="1"/>
  <c r="R258" i="1"/>
  <c r="L257" i="1"/>
  <c r="Q257" i="1"/>
  <c r="R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L254" i="1" l="1"/>
  <c r="L255" i="1"/>
  <c r="L256" i="1"/>
  <c r="Q256" i="1" l="1"/>
  <c r="R256" i="1"/>
  <c r="Q255" i="1" l="1"/>
  <c r="R255" i="1" l="1"/>
  <c r="Q254" i="1" l="1"/>
  <c r="R254" i="1"/>
  <c r="L252" i="1"/>
  <c r="L253" i="1"/>
  <c r="L250" i="1"/>
  <c r="L251" i="1"/>
  <c r="Q253" i="1"/>
  <c r="R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Q252" i="1"/>
  <c r="R252" i="1"/>
  <c r="Q251" i="1"/>
  <c r="R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L248" i="1"/>
  <c r="L249" i="1"/>
  <c r="Q250" i="1"/>
  <c r="R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R249" i="1"/>
  <c r="L247" i="1" l="1"/>
  <c r="R248" i="1"/>
  <c r="R247" i="1" l="1"/>
  <c r="L246" i="1"/>
  <c r="R246" i="1" l="1"/>
  <c r="L244" i="1"/>
  <c r="L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65" i="3"/>
  <c r="F5564" i="3"/>
  <c r="F5588" i="3" s="1"/>
  <c r="F5562" i="3"/>
  <c r="F5552" i="3"/>
  <c r="F5576" i="3" s="1"/>
  <c r="F5600" i="3" s="1"/>
  <c r="F5546" i="3"/>
  <c r="L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L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L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I241" i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E5714" i="3"/>
  <c r="L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L239" i="1"/>
  <c r="E5671" i="3"/>
  <c r="L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L236" i="1"/>
  <c r="L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E5623" i="3"/>
  <c r="E5622" i="3"/>
  <c r="E5621" i="3"/>
  <c r="E5619" i="3"/>
  <c r="E5614" i="3"/>
  <c r="E5618" i="3"/>
  <c r="E5629" i="3"/>
  <c r="E5628" i="3"/>
  <c r="L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E5608" i="3"/>
  <c r="E5604" i="3"/>
  <c r="L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E5592" i="3"/>
  <c r="E5581" i="3"/>
  <c r="E5580" i="3"/>
  <c r="E5574" i="3"/>
  <c r="I234" i="1"/>
  <c r="I235" i="1" s="1"/>
  <c r="I236" i="1" s="1"/>
  <c r="I237" i="1" s="1"/>
  <c r="I238" i="1" s="1"/>
  <c r="I239" i="1" s="1"/>
  <c r="F5610" i="3" l="1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L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L175" i="5" l="1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L223" i="1"/>
  <c r="L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L221" i="1"/>
  <c r="I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L220" i="1"/>
  <c r="L219" i="1"/>
  <c r="C205" i="1" l="1"/>
  <c r="P204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C206" i="1" l="1"/>
  <c r="P205" i="1"/>
  <c r="C207" i="1" l="1"/>
  <c r="P206" i="1"/>
  <c r="C208" i="1" l="1"/>
  <c r="P207" i="1"/>
  <c r="C209" i="1" l="1"/>
  <c r="P208" i="1"/>
  <c r="C210" i="1" l="1"/>
  <c r="P20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211" i="1" l="1"/>
  <c r="P210" i="1"/>
  <c r="L211" i="1"/>
  <c r="C212" i="1" l="1"/>
  <c r="P211" i="1"/>
  <c r="L210" i="1"/>
  <c r="C213" i="1" l="1"/>
  <c r="P212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C214" i="1" l="1"/>
  <c r="P21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15" i="1" l="1"/>
  <c r="P214" i="1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L206" i="1"/>
  <c r="C216" i="1" l="1"/>
  <c r="P21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C217" i="1" l="1"/>
  <c r="P21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K202" i="1"/>
  <c r="J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218" i="1" l="1"/>
  <c r="P217" i="1"/>
  <c r="C219" i="1" l="1"/>
  <c r="P218" i="1"/>
  <c r="D202" i="1"/>
  <c r="E4816" i="3"/>
  <c r="E4811" i="3"/>
  <c r="E4805" i="3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D201" i="1"/>
  <c r="D197" i="1"/>
  <c r="E4682" i="3"/>
  <c r="E4792" i="3"/>
  <c r="K200" i="1"/>
  <c r="J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 s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K196" i="1"/>
  <c r="J196" i="1" s="1"/>
  <c r="E4669" i="3"/>
  <c r="E4663" i="3"/>
  <c r="E4659" i="3"/>
  <c r="E4658" i="3"/>
  <c r="E4680" i="3"/>
  <c r="E4678" i="3"/>
  <c r="E4672" i="3"/>
  <c r="E4670" i="3"/>
  <c r="E4667" i="3"/>
  <c r="E4665" i="3"/>
  <c r="P196" i="1"/>
  <c r="D196" i="1"/>
  <c r="E4674" i="3"/>
  <c r="E4673" i="3"/>
  <c r="E4679" i="3"/>
  <c r="E4661" i="3"/>
  <c r="K195" i="1"/>
  <c r="J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D195" i="1"/>
  <c r="C220" i="1" l="1"/>
  <c r="P219" i="1"/>
  <c r="E4643" i="3"/>
  <c r="P220" i="1" l="1"/>
  <c r="C221" i="1"/>
  <c r="P194" i="1"/>
  <c r="K194" i="1"/>
  <c r="J194" i="1" s="1"/>
  <c r="P221" i="1" l="1"/>
  <c r="C222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223" i="1" l="1"/>
  <c r="P222" i="1"/>
  <c r="E178" i="5"/>
  <c r="F178" i="5" s="1"/>
  <c r="E179" i="5"/>
  <c r="E180" i="5"/>
  <c r="F180" i="5" s="1"/>
  <c r="E4619" i="3"/>
  <c r="K193" i="1"/>
  <c r="J193" i="1" s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224" i="1" l="1"/>
  <c r="P22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K192" i="1"/>
  <c r="J192" i="1" s="1"/>
  <c r="C225" i="1" l="1"/>
  <c r="P22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C226" i="1" l="1"/>
  <c r="P22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P226" i="1" l="1"/>
  <c r="C227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P227" i="1" l="1"/>
  <c r="C228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229" i="1" l="1"/>
  <c r="P228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230" i="1" l="1"/>
  <c r="P229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231" i="1" l="1"/>
  <c r="P230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232" i="1" l="1"/>
  <c r="P231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233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P233" i="1" l="1"/>
  <c r="C234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P234" i="1" l="1"/>
  <c r="C235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236" i="1" l="1"/>
  <c r="P235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P236" i="1" l="1"/>
  <c r="C237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238" i="1" l="1"/>
  <c r="P237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239" i="1" l="1"/>
  <c r="P238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P239" i="1" l="1"/>
  <c r="C240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241" i="1" l="1"/>
  <c r="P240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P241" i="1" l="1"/>
  <c r="C242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243" i="1" l="1"/>
  <c r="P242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244" i="1" l="1"/>
  <c r="P243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245" i="1" l="1"/>
  <c r="P244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46" i="1" l="1"/>
  <c r="P245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47" i="1" l="1"/>
  <c r="P246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48" i="1" l="1"/>
  <c r="P247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49" i="1" l="1"/>
  <c r="P248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50" i="1" l="1"/>
  <c r="P249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C251" i="1" l="1"/>
  <c r="P250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52" i="1" l="1"/>
  <c r="P251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53" i="1" l="1"/>
  <c r="P252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54" i="1" l="1"/>
  <c r="P253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P254" i="1" l="1"/>
  <c r="C255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P255" i="1" l="1"/>
  <c r="C256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57" i="1" l="1"/>
  <c r="P256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58" i="1" l="1"/>
  <c r="P257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C259" i="1" l="1"/>
  <c r="P258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P259" i="1" l="1"/>
  <c r="C260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P260" i="1" l="1"/>
  <c r="C261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P261" i="1" l="1"/>
  <c r="C262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P262" i="1" l="1"/>
  <c r="C263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64" i="1" l="1"/>
  <c r="P263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P264" i="1" l="1"/>
  <c r="C265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66" i="1" l="1"/>
  <c r="P265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P266" i="1" l="1"/>
  <c r="C267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P267" i="1" l="1"/>
  <c r="C268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P268" i="1" l="1"/>
  <c r="C269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P269" i="1" l="1"/>
  <c r="C270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P270" i="1" l="1"/>
  <c r="C271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P271" i="1" l="1"/>
  <c r="C272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P272" i="1" l="1"/>
  <c r="C273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P273" i="1" l="1"/>
  <c r="C274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P274" i="1" l="1"/>
  <c r="C275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P275" i="1" l="1"/>
  <c r="C276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C277" i="1" l="1"/>
  <c r="C278" i="1" s="1"/>
  <c r="P276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C279" i="1" l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C280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 s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 s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 s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 s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R161" i="1" s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S162" i="1" l="1"/>
  <c r="R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R163" i="1" l="1"/>
  <c r="S163" i="1"/>
  <c r="F3225" i="3"/>
  <c r="F3226" i="3"/>
  <c r="E164" i="1"/>
  <c r="I143" i="1"/>
  <c r="E3390" i="3"/>
  <c r="E3386" i="3"/>
  <c r="P143" i="1"/>
  <c r="R164" i="1" l="1"/>
  <c r="S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3249" i="3"/>
  <c r="E165" i="1"/>
  <c r="R165" i="1" l="1"/>
  <c r="S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S166" i="1" l="1"/>
  <c r="R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C139" i="1" s="1"/>
  <c r="C140" i="1" s="1"/>
  <c r="R167" i="1" l="1"/>
  <c r="S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R168" i="1" l="1"/>
  <c r="S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P140" i="1"/>
  <c r="E170" i="1" l="1"/>
  <c r="E171" i="1" s="1"/>
  <c r="R169" i="1"/>
  <c r="S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S142" i="1"/>
  <c r="R142" i="1"/>
  <c r="K139" i="1"/>
  <c r="E172" i="1" l="1"/>
  <c r="R171" i="1"/>
  <c r="S171" i="1"/>
  <c r="S170" i="1"/>
  <c r="R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R173" i="1" l="1"/>
  <c r="S173" i="1"/>
  <c r="R172" i="1"/>
  <c r="S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S174" i="1" l="1"/>
  <c r="R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R175" i="1" l="1"/>
  <c r="S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R176" i="1" l="1"/>
  <c r="S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R177" i="1" l="1"/>
  <c r="S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S178" i="1" l="1"/>
  <c r="R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R179" i="1" l="1"/>
  <c r="S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R180" i="1" l="1"/>
  <c r="S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54" i="1"/>
  <c r="S154" i="1"/>
  <c r="P129" i="1"/>
  <c r="E182" i="1" l="1"/>
  <c r="R181" i="1"/>
  <c r="S181" i="1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R183" i="1" l="1"/>
  <c r="S183" i="1"/>
  <c r="S182" i="1"/>
  <c r="R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R184" i="1" l="1"/>
  <c r="S184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R185" i="1" l="1"/>
  <c r="S185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S186" i="1" l="1"/>
  <c r="R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E187" i="1"/>
  <c r="R159" i="1"/>
  <c r="S159" i="1"/>
  <c r="L124" i="1"/>
  <c r="R187" i="1" l="1"/>
  <c r="S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R188" i="1" l="1"/>
  <c r="S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R189" i="1" l="1"/>
  <c r="S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S190" i="1" l="1"/>
  <c r="R190" i="1"/>
  <c r="F3801" i="3"/>
  <c r="F3827" i="3"/>
  <c r="F3851" i="3" s="1"/>
  <c r="F3875" i="3" s="1"/>
  <c r="E191" i="1"/>
  <c r="S123" i="1"/>
  <c r="R123" i="1"/>
  <c r="E124" i="1"/>
  <c r="E192" i="1" l="1"/>
  <c r="R191" i="1"/>
  <c r="S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R193" i="1" l="1"/>
  <c r="S193" i="1"/>
  <c r="E194" i="1"/>
  <c r="R192" i="1"/>
  <c r="S192" i="1"/>
  <c r="E120" i="1"/>
  <c r="S119" i="1"/>
  <c r="E126" i="1"/>
  <c r="S125" i="1"/>
  <c r="R119" i="1"/>
  <c r="R125" i="1"/>
  <c r="R120" i="1"/>
  <c r="S194" i="1" l="1"/>
  <c r="R194" i="1"/>
  <c r="E195" i="1"/>
  <c r="S126" i="1"/>
  <c r="R126" i="1"/>
  <c r="S120" i="1"/>
  <c r="R195" i="1" l="1"/>
  <c r="S195" i="1"/>
  <c r="E196" i="1"/>
  <c r="E113" i="1"/>
  <c r="R196" i="1" l="1"/>
  <c r="S196" i="1"/>
  <c r="E197" i="1"/>
  <c r="S113" i="1"/>
  <c r="R113" i="1"/>
  <c r="E114" i="1"/>
  <c r="S197" i="1" l="1"/>
  <c r="R197" i="1"/>
  <c r="E198" i="1"/>
  <c r="S114" i="1"/>
  <c r="R114" i="1"/>
  <c r="S198" i="1" l="1"/>
  <c r="R198" i="1"/>
  <c r="E199" i="1"/>
  <c r="P171" i="1"/>
  <c r="S199" i="1" l="1"/>
  <c r="R199" i="1"/>
  <c r="E200" i="1"/>
  <c r="P172" i="1"/>
  <c r="S200" i="1" l="1"/>
  <c r="R200" i="1"/>
  <c r="E201" i="1"/>
  <c r="P173" i="1"/>
  <c r="S201" i="1" l="1"/>
  <c r="R201" i="1"/>
  <c r="E202" i="1"/>
  <c r="P174" i="1"/>
  <c r="S202" i="1" l="1"/>
  <c r="R202" i="1"/>
  <c r="E203" i="1"/>
  <c r="P175" i="1"/>
  <c r="S203" i="1" l="1"/>
  <c r="R203" i="1"/>
  <c r="E204" i="1"/>
  <c r="P176" i="1"/>
  <c r="S204" i="1" l="1"/>
  <c r="E205" i="1"/>
  <c r="R204" i="1"/>
  <c r="P177" i="1"/>
  <c r="S205" i="1" l="1"/>
  <c r="R205" i="1"/>
  <c r="E206" i="1"/>
  <c r="P178" i="1"/>
  <c r="S206" i="1" l="1"/>
  <c r="R206" i="1"/>
  <c r="E207" i="1"/>
  <c r="P179" i="1"/>
  <c r="S207" i="1" l="1"/>
  <c r="R207" i="1"/>
  <c r="E208" i="1"/>
  <c r="P180" i="1"/>
  <c r="E209" i="1" l="1"/>
  <c r="R208" i="1"/>
  <c r="S208" i="1"/>
  <c r="P181" i="1"/>
  <c r="E210" i="1" l="1"/>
  <c r="R209" i="1"/>
  <c r="S209" i="1"/>
  <c r="P182" i="1"/>
  <c r="S210" i="1" l="1"/>
  <c r="R210" i="1"/>
  <c r="E211" i="1"/>
  <c r="P183" i="1"/>
  <c r="S211" i="1" l="1"/>
  <c r="E212" i="1"/>
  <c r="R211" i="1"/>
  <c r="P184" i="1"/>
  <c r="S212" i="1" l="1"/>
  <c r="R212" i="1"/>
  <c r="E213" i="1"/>
  <c r="P185" i="1"/>
  <c r="S213" i="1" l="1"/>
  <c r="R213" i="1"/>
  <c r="E214" i="1"/>
  <c r="P186" i="1"/>
  <c r="S214" i="1" l="1"/>
  <c r="E215" i="1"/>
  <c r="R214" i="1"/>
  <c r="P187" i="1"/>
  <c r="E216" i="1" l="1"/>
  <c r="S215" i="1"/>
  <c r="R215" i="1"/>
  <c r="P188" i="1"/>
  <c r="S216" i="1" l="1"/>
  <c r="E217" i="1"/>
  <c r="R216" i="1"/>
  <c r="P189" i="1"/>
  <c r="S217" i="1" l="1"/>
  <c r="E218" i="1"/>
  <c r="R217" i="1"/>
  <c r="P190" i="1"/>
  <c r="S218" i="1" l="1"/>
  <c r="E219" i="1"/>
  <c r="R218" i="1"/>
  <c r="S219" i="1" l="1"/>
  <c r="E220" i="1"/>
  <c r="R219" i="1"/>
  <c r="S220" i="1" l="1"/>
  <c r="E221" i="1"/>
  <c r="R220" i="1"/>
  <c r="S221" i="1" l="1"/>
  <c r="E222" i="1"/>
  <c r="R221" i="1"/>
  <c r="R222" i="1" l="1"/>
  <c r="S222" i="1"/>
  <c r="E223" i="1"/>
  <c r="S223" i="1" l="1"/>
  <c r="E224" i="1"/>
  <c r="R223" i="1"/>
  <c r="S224" i="1" l="1"/>
  <c r="E225" i="1"/>
  <c r="R224" i="1"/>
  <c r="S225" i="1" l="1"/>
  <c r="E226" i="1"/>
  <c r="R225" i="1"/>
  <c r="E227" i="1" l="1"/>
  <c r="S226" i="1"/>
  <c r="R226" i="1"/>
  <c r="S227" i="1" l="1"/>
  <c r="E228" i="1"/>
  <c r="R227" i="1"/>
  <c r="E229" i="1" l="1"/>
  <c r="S228" i="1"/>
  <c r="R228" i="1"/>
  <c r="S229" i="1" l="1"/>
  <c r="E230" i="1"/>
  <c r="R229" i="1"/>
  <c r="E231" i="1" l="1"/>
  <c r="S230" i="1"/>
  <c r="R230" i="1"/>
  <c r="S231" i="1" l="1"/>
  <c r="E232" i="1"/>
  <c r="R231" i="1"/>
  <c r="E233" i="1" l="1"/>
  <c r="S232" i="1"/>
  <c r="R232" i="1"/>
  <c r="S233" i="1" l="1"/>
  <c r="E234" i="1"/>
  <c r="R233" i="1"/>
  <c r="S234" i="1" l="1"/>
  <c r="E235" i="1"/>
  <c r="R234" i="1"/>
  <c r="E236" i="1" l="1"/>
  <c r="S235" i="1"/>
  <c r="R235" i="1"/>
  <c r="S236" i="1" l="1"/>
  <c r="E237" i="1"/>
  <c r="R236" i="1"/>
  <c r="E238" i="1" l="1"/>
  <c r="S237" i="1"/>
  <c r="R237" i="1"/>
  <c r="E239" i="1" l="1"/>
  <c r="S238" i="1"/>
  <c r="R238" i="1"/>
  <c r="E240" i="1" l="1"/>
  <c r="S239" i="1"/>
  <c r="R239" i="1"/>
  <c r="E241" i="1" l="1"/>
  <c r="S240" i="1"/>
  <c r="R240" i="1"/>
  <c r="E242" i="1" l="1"/>
  <c r="S241" i="1"/>
  <c r="R241" i="1"/>
  <c r="E243" i="1" l="1"/>
  <c r="S242" i="1"/>
  <c r="R242" i="1"/>
  <c r="E244" i="1" l="1"/>
  <c r="S243" i="1"/>
  <c r="R243" i="1"/>
  <c r="E245" i="1" l="1"/>
  <c r="S244" i="1"/>
  <c r="R244" i="1"/>
  <c r="E246" i="1" l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S245" i="1"/>
  <c r="R245" i="1"/>
  <c r="E279" i="1" l="1"/>
  <c r="E280" i="1" l="1"/>
  <c r="C125" i="13" l="1"/>
  <c r="P125" i="13" l="1"/>
  <c r="C126" i="13"/>
  <c r="C127" i="13" l="1"/>
  <c r="P126" i="13"/>
  <c r="C122" i="13" l="1"/>
  <c r="C128" i="13"/>
  <c r="P127" i="13"/>
  <c r="U138" i="13" l="1"/>
  <c r="U135" i="13"/>
  <c r="P128" i="13"/>
  <c r="U129" i="13"/>
  <c r="B123" i="13"/>
  <c r="C123" i="13"/>
  <c r="P122" i="13"/>
  <c r="V123" i="13" l="1"/>
  <c r="U130" i="13"/>
  <c r="W124" i="13"/>
  <c r="W128" i="13"/>
  <c r="W125" i="13"/>
  <c r="W129" i="13"/>
  <c r="W126" i="13"/>
  <c r="W127" i="13"/>
  <c r="U123" i="13"/>
  <c r="E122" i="13" l="1"/>
  <c r="I238" i="13"/>
  <c r="I237" i="13"/>
  <c r="I244" i="13"/>
  <c r="I172" i="13"/>
  <c r="I173" i="13" s="1"/>
  <c r="I159" i="13" s="1"/>
  <c r="I166" i="13"/>
  <c r="R122" i="13"/>
  <c r="S122" i="13"/>
  <c r="U132" i="13"/>
  <c r="U140" i="13"/>
  <c r="U139" i="13"/>
  <c r="C142" i="13"/>
  <c r="S142" i="13" s="1"/>
  <c r="C141" i="13"/>
  <c r="S141" i="13" s="1"/>
  <c r="U136" i="13"/>
  <c r="U131" i="13"/>
  <c r="C143" i="13" l="1"/>
  <c r="E144" i="13"/>
  <c r="U134" i="13"/>
  <c r="R141" i="13"/>
  <c r="R142" i="13"/>
  <c r="U133" i="13"/>
  <c r="I160" i="13"/>
  <c r="R143" i="13" l="1"/>
  <c r="S143" i="13"/>
  <c r="R144" i="13"/>
  <c r="S144" i="13"/>
  <c r="U141" i="13"/>
  <c r="C145" i="13"/>
  <c r="C146" i="13" s="1"/>
  <c r="U145" i="13"/>
  <c r="E154" i="13"/>
  <c r="E155" i="13" s="1"/>
  <c r="E157" i="13"/>
  <c r="E158" i="13" s="1"/>
  <c r="U142" i="13"/>
  <c r="U143" i="13"/>
  <c r="U144" i="13"/>
  <c r="C147" i="13" l="1"/>
  <c r="U146" i="13"/>
  <c r="E159" i="13"/>
  <c r="C148" i="13" l="1"/>
  <c r="U147" i="13"/>
  <c r="E160" i="13"/>
  <c r="E161" i="13" l="1"/>
  <c r="C149" i="13"/>
  <c r="U148" i="13"/>
  <c r="C150" i="13" l="1"/>
  <c r="U149" i="13"/>
  <c r="E162" i="13"/>
  <c r="E163" i="13" l="1"/>
  <c r="C151" i="13"/>
  <c r="U150" i="13"/>
  <c r="C152" i="13" l="1"/>
  <c r="U151" i="13"/>
  <c r="E164" i="13"/>
  <c r="E165" i="13" l="1"/>
  <c r="U152" i="13"/>
  <c r="S152" i="13"/>
  <c r="R152" i="13"/>
  <c r="C153" i="13"/>
  <c r="U153" i="13" l="1"/>
  <c r="R153" i="13"/>
  <c r="C154" i="13"/>
  <c r="S153" i="13"/>
  <c r="E166" i="13"/>
  <c r="C155" i="13" l="1"/>
  <c r="S154" i="13"/>
  <c r="R154" i="13"/>
  <c r="U154" i="13"/>
  <c r="E167" i="13"/>
  <c r="E168" i="13" l="1"/>
  <c r="C156" i="13"/>
  <c r="R155" i="13"/>
  <c r="U155" i="13"/>
  <c r="S155" i="13"/>
  <c r="R156" i="13" l="1"/>
  <c r="C157" i="13"/>
  <c r="U156" i="13"/>
  <c r="S156" i="13"/>
  <c r="E169" i="13"/>
  <c r="U157" i="13" l="1"/>
  <c r="C158" i="13"/>
  <c r="S157" i="13"/>
  <c r="R157" i="13"/>
  <c r="E170" i="13"/>
  <c r="C159" i="13" l="1"/>
  <c r="U158" i="13"/>
  <c r="R158" i="13"/>
  <c r="S158" i="13"/>
  <c r="E171" i="13"/>
  <c r="E172" i="13" l="1"/>
  <c r="C160" i="13"/>
  <c r="R159" i="13"/>
  <c r="U159" i="13"/>
  <c r="S159" i="13"/>
  <c r="C161" i="13" l="1"/>
  <c r="R160" i="13"/>
  <c r="U160" i="13"/>
  <c r="S160" i="13"/>
  <c r="E173" i="13"/>
  <c r="E174" i="13" l="1"/>
  <c r="C162" i="13"/>
  <c r="U161" i="13"/>
  <c r="R161" i="13"/>
  <c r="S161" i="13"/>
  <c r="C163" i="13" l="1"/>
  <c r="R162" i="13"/>
  <c r="U162" i="13"/>
  <c r="S162" i="13"/>
  <c r="E175" i="13"/>
  <c r="E176" i="13" l="1"/>
  <c r="C164" i="13"/>
  <c r="R163" i="13"/>
  <c r="U163" i="13"/>
  <c r="S163" i="13"/>
  <c r="E177" i="13" l="1"/>
  <c r="C165" i="13"/>
  <c r="U164" i="13"/>
  <c r="R164" i="13"/>
  <c r="S164" i="13"/>
  <c r="C166" i="13" l="1"/>
  <c r="R165" i="13"/>
  <c r="U165" i="13"/>
  <c r="S165" i="13"/>
  <c r="E178" i="13"/>
  <c r="E179" i="13" l="1"/>
  <c r="C167" i="13"/>
  <c r="R166" i="13"/>
  <c r="U166" i="13"/>
  <c r="S166" i="13"/>
  <c r="C168" i="13" l="1"/>
  <c r="U167" i="13"/>
  <c r="R167" i="13"/>
  <c r="S167" i="13"/>
  <c r="E180" i="13"/>
  <c r="E181" i="13" l="1"/>
  <c r="C169" i="13"/>
  <c r="R168" i="13"/>
  <c r="U168" i="13"/>
  <c r="S168" i="13"/>
  <c r="E182" i="13" l="1"/>
  <c r="C170" i="13"/>
  <c r="R169" i="13"/>
  <c r="U169" i="13"/>
  <c r="S169" i="13"/>
  <c r="C171" i="13" l="1"/>
  <c r="R170" i="13"/>
  <c r="U170" i="13"/>
  <c r="S170" i="13"/>
  <c r="E183" i="13"/>
  <c r="E184" i="13" l="1"/>
  <c r="C172" i="13"/>
  <c r="R171" i="13"/>
  <c r="U171" i="13"/>
  <c r="S171" i="13"/>
  <c r="C173" i="13" l="1"/>
  <c r="U172" i="13"/>
  <c r="R172" i="13"/>
  <c r="S172" i="13"/>
  <c r="E185" i="13"/>
  <c r="E186" i="13" l="1"/>
  <c r="C174" i="13"/>
  <c r="U173" i="13"/>
  <c r="R173" i="13"/>
  <c r="S173" i="13"/>
  <c r="C175" i="13" l="1"/>
  <c r="U174" i="13"/>
  <c r="R174" i="13"/>
  <c r="P174" i="13"/>
  <c r="S174" i="13"/>
  <c r="E187" i="13"/>
  <c r="E188" i="13" l="1"/>
  <c r="C176" i="13"/>
  <c r="U175" i="13"/>
  <c r="R175" i="13"/>
  <c r="P175" i="13"/>
  <c r="S175" i="13"/>
  <c r="C177" i="13" l="1"/>
  <c r="R176" i="13"/>
  <c r="P176" i="13"/>
  <c r="U176" i="13"/>
  <c r="S176" i="13"/>
  <c r="E189" i="13"/>
  <c r="E190" i="13" l="1"/>
  <c r="C178" i="13"/>
  <c r="R177" i="13"/>
  <c r="P177" i="13"/>
  <c r="U177" i="13"/>
  <c r="S177" i="13"/>
  <c r="C179" i="13" l="1"/>
  <c r="P178" i="13"/>
  <c r="R178" i="13"/>
  <c r="U178" i="13"/>
  <c r="S178" i="13"/>
  <c r="E191" i="13"/>
  <c r="E192" i="13" l="1"/>
  <c r="C180" i="13"/>
  <c r="U179" i="13"/>
  <c r="R179" i="13"/>
  <c r="P179" i="13"/>
  <c r="S179" i="13"/>
  <c r="C181" i="13" l="1"/>
  <c r="P180" i="13"/>
  <c r="U180" i="13"/>
  <c r="R180" i="13"/>
  <c r="S180" i="13"/>
  <c r="E193" i="13"/>
  <c r="E194" i="13" l="1"/>
  <c r="C182" i="13"/>
  <c r="R181" i="13"/>
  <c r="P181" i="13"/>
  <c r="U181" i="13"/>
  <c r="S181" i="13"/>
  <c r="C183" i="13" l="1"/>
  <c r="R182" i="13"/>
  <c r="P182" i="13"/>
  <c r="U182" i="13"/>
  <c r="S182" i="13"/>
  <c r="E195" i="13"/>
  <c r="E196" i="13" l="1"/>
  <c r="C184" i="13"/>
  <c r="U183" i="13"/>
  <c r="P183" i="13"/>
  <c r="R183" i="13"/>
  <c r="S183" i="13"/>
  <c r="C185" i="13" l="1"/>
  <c r="P184" i="13"/>
  <c r="U184" i="13"/>
  <c r="R184" i="13"/>
  <c r="S184" i="13"/>
  <c r="E197" i="13"/>
  <c r="E198" i="13" l="1"/>
  <c r="C186" i="13"/>
  <c r="U185" i="13"/>
  <c r="P185" i="13"/>
  <c r="R185" i="13"/>
  <c r="S185" i="13"/>
  <c r="C187" i="13" l="1"/>
  <c r="R186" i="13"/>
  <c r="P186" i="13"/>
  <c r="U186" i="13"/>
  <c r="S186" i="13"/>
  <c r="E199" i="13"/>
  <c r="E200" i="13" l="1"/>
  <c r="C188" i="13"/>
  <c r="R187" i="13"/>
  <c r="P187" i="13"/>
  <c r="U187" i="13"/>
  <c r="S187" i="13"/>
  <c r="C189" i="13" l="1"/>
  <c r="R188" i="13"/>
  <c r="U188" i="13"/>
  <c r="P188" i="13"/>
  <c r="S188" i="13"/>
  <c r="E201" i="13"/>
  <c r="E202" i="13" l="1"/>
  <c r="C190" i="13"/>
  <c r="U189" i="13"/>
  <c r="R189" i="13"/>
  <c r="P189" i="13"/>
  <c r="S189" i="13"/>
  <c r="E203" i="13" l="1"/>
  <c r="C191" i="13"/>
  <c r="R190" i="13"/>
  <c r="P190" i="13"/>
  <c r="U190" i="13"/>
  <c r="S190" i="13"/>
  <c r="S200" i="13"/>
  <c r="C192" i="13" l="1"/>
  <c r="R191" i="13"/>
  <c r="P191" i="13"/>
  <c r="U191" i="13"/>
  <c r="S191" i="13"/>
  <c r="S201" i="13"/>
  <c r="E204" i="13"/>
  <c r="E205" i="13" l="1"/>
  <c r="C193" i="13"/>
  <c r="R192" i="13"/>
  <c r="P192" i="13"/>
  <c r="U192" i="13"/>
  <c r="S192" i="13"/>
  <c r="S202" i="13"/>
  <c r="C194" i="13" l="1"/>
  <c r="R193" i="13"/>
  <c r="P193" i="13"/>
  <c r="U193" i="13"/>
  <c r="S193" i="13"/>
  <c r="S203" i="13"/>
  <c r="E206" i="13"/>
  <c r="E207" i="13" l="1"/>
  <c r="C195" i="13"/>
  <c r="P194" i="13"/>
  <c r="U194" i="13"/>
  <c r="R194" i="13"/>
  <c r="S194" i="13"/>
  <c r="S204" i="13"/>
  <c r="C196" i="13" l="1"/>
  <c r="P195" i="13"/>
  <c r="U195" i="13"/>
  <c r="R195" i="13"/>
  <c r="S195" i="13"/>
  <c r="S205" i="13"/>
  <c r="E208" i="13"/>
  <c r="E209" i="13" l="1"/>
  <c r="C197" i="13"/>
  <c r="U196" i="13"/>
  <c r="R196" i="13"/>
  <c r="P196" i="13"/>
  <c r="S196" i="13"/>
  <c r="S206" i="13"/>
  <c r="E210" i="13" l="1"/>
  <c r="C198" i="13"/>
  <c r="P197" i="13"/>
  <c r="U197" i="13"/>
  <c r="R197" i="13"/>
  <c r="S197" i="13"/>
  <c r="S207" i="13"/>
  <c r="C199" i="13" l="1"/>
  <c r="U198" i="13"/>
  <c r="R198" i="13"/>
  <c r="P198" i="13"/>
  <c r="S198" i="13"/>
  <c r="S208" i="13"/>
  <c r="E211" i="13"/>
  <c r="E212" i="13" l="1"/>
  <c r="C200" i="13"/>
  <c r="R199" i="13"/>
  <c r="P199" i="13"/>
  <c r="U199" i="13"/>
  <c r="S199" i="13"/>
  <c r="S209" i="13"/>
  <c r="C201" i="13" l="1"/>
  <c r="U200" i="13"/>
  <c r="R200" i="13"/>
  <c r="P200" i="13"/>
  <c r="S210" i="13"/>
  <c r="E213" i="13"/>
  <c r="E214" i="13" l="1"/>
  <c r="C202" i="13"/>
  <c r="U201" i="13"/>
  <c r="R201" i="13"/>
  <c r="P201" i="13"/>
  <c r="S211" i="13"/>
  <c r="C203" i="13" l="1"/>
  <c r="U202" i="13"/>
  <c r="P202" i="13"/>
  <c r="R202" i="13"/>
  <c r="S212" i="13"/>
  <c r="E215" i="13"/>
  <c r="S215" i="13" l="1"/>
  <c r="E216" i="13"/>
  <c r="C204" i="13"/>
  <c r="R203" i="13"/>
  <c r="P203" i="13"/>
  <c r="U203" i="13"/>
  <c r="S213" i="13"/>
  <c r="C205" i="13" l="1"/>
  <c r="U204" i="13"/>
  <c r="P204" i="13"/>
  <c r="R204" i="13"/>
  <c r="S214" i="13"/>
  <c r="E217" i="13"/>
  <c r="S216" i="13"/>
  <c r="E218" i="13" l="1"/>
  <c r="S217" i="13"/>
  <c r="C206" i="13"/>
  <c r="U205" i="13"/>
  <c r="P205" i="13"/>
  <c r="R205" i="13"/>
  <c r="C207" i="13" l="1"/>
  <c r="R206" i="13"/>
  <c r="P206" i="13"/>
  <c r="U206" i="13"/>
  <c r="S218" i="13"/>
  <c r="E219" i="13"/>
  <c r="S219" i="13" s="1"/>
  <c r="C208" i="13" l="1"/>
  <c r="U207" i="13"/>
  <c r="P207" i="13"/>
  <c r="R207" i="13"/>
  <c r="C209" i="13" l="1"/>
  <c r="R208" i="13"/>
  <c r="U208" i="13"/>
  <c r="P208" i="13"/>
  <c r="U209" i="13" l="1"/>
  <c r="P209" i="13"/>
  <c r="C210" i="13"/>
  <c r="R209" i="13"/>
  <c r="C211" i="13" l="1"/>
  <c r="U210" i="13"/>
  <c r="R210" i="13"/>
  <c r="P210" i="13"/>
  <c r="P211" i="13" l="1"/>
  <c r="U211" i="13"/>
  <c r="R211" i="13"/>
  <c r="C212" i="13"/>
  <c r="C213" i="13" l="1"/>
  <c r="U212" i="13"/>
  <c r="P212" i="13"/>
  <c r="R212" i="13"/>
  <c r="C214" i="13" l="1"/>
  <c r="P213" i="13"/>
  <c r="R213" i="13"/>
  <c r="U213" i="13"/>
  <c r="C215" i="13" l="1"/>
  <c r="U214" i="13"/>
  <c r="P214" i="13"/>
  <c r="R214" i="13"/>
  <c r="C216" i="13" l="1"/>
  <c r="U215" i="13"/>
  <c r="P215" i="13"/>
  <c r="R215" i="13"/>
  <c r="C217" i="13" l="1"/>
  <c r="P216" i="13"/>
  <c r="U216" i="13"/>
  <c r="R216" i="13"/>
  <c r="C218" i="13" l="1"/>
  <c r="U217" i="13"/>
  <c r="P217" i="13"/>
  <c r="R217" i="13"/>
  <c r="U218" i="13" l="1"/>
  <c r="P218" i="13"/>
  <c r="C219" i="13"/>
  <c r="R218" i="13"/>
  <c r="U219" i="13" l="1"/>
  <c r="P219" i="13"/>
  <c r="R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U285" i="13"/>
  <c r="V285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S285" i="13"/>
  <c r="E145" i="13"/>
  <c r="E146" i="13"/>
  <c r="E147" i="13"/>
  <c r="E148" i="13"/>
  <c r="E149" i="13"/>
  <c r="E150" i="13"/>
  <c r="E151" i="13"/>
  <c r="R151" i="13"/>
  <c r="S151" i="13"/>
  <c r="V283" i="13"/>
  <c r="U270" i="13"/>
  <c r="P270" i="13"/>
  <c r="P264" i="13"/>
  <c r="U264" i="13"/>
  <c r="V277" i="13"/>
  <c r="U261" i="13"/>
  <c r="P261" i="13"/>
  <c r="V274" i="13"/>
  <c r="U263" i="13"/>
  <c r="P263" i="13"/>
  <c r="V276" i="13"/>
  <c r="R226" i="13"/>
  <c r="U226" i="13"/>
  <c r="P226" i="13"/>
  <c r="U257" i="13"/>
  <c r="P257" i="13"/>
  <c r="V270" i="13"/>
  <c r="R247" i="13"/>
  <c r="U247" i="13"/>
  <c r="V260" i="13"/>
  <c r="P247" i="13"/>
  <c r="S225" i="13"/>
  <c r="S230" i="13"/>
  <c r="U275" i="13"/>
  <c r="P275" i="13"/>
  <c r="P279" i="13"/>
  <c r="U279" i="13"/>
  <c r="P274" i="13"/>
  <c r="U274" i="13"/>
  <c r="S281" i="13"/>
  <c r="P281" i="13"/>
  <c r="U281" i="13"/>
  <c r="P280" i="13"/>
  <c r="U280" i="13"/>
  <c r="U266" i="13"/>
  <c r="P266" i="13"/>
  <c r="V279" i="13"/>
  <c r="P276" i="13"/>
  <c r="U276" i="13"/>
  <c r="P248" i="13"/>
  <c r="R248" i="13"/>
  <c r="U248" i="13"/>
  <c r="V261" i="13"/>
  <c r="R227" i="13"/>
  <c r="P227" i="13"/>
  <c r="U227" i="13"/>
  <c r="U260" i="13"/>
  <c r="V273" i="13"/>
  <c r="P260" i="13"/>
  <c r="R229" i="13"/>
  <c r="P229" i="13"/>
  <c r="U229" i="13"/>
  <c r="U258" i="13"/>
  <c r="V271" i="13"/>
  <c r="P258" i="13"/>
  <c r="V268" i="13"/>
  <c r="U255" i="13"/>
  <c r="P255" i="13"/>
  <c r="E125" i="13"/>
  <c r="E126" i="13"/>
  <c r="E127" i="13"/>
  <c r="E128" i="13"/>
  <c r="E129" i="13"/>
  <c r="S129" i="13"/>
  <c r="R129" i="13"/>
  <c r="S227" i="13"/>
  <c r="S246" i="13"/>
  <c r="S239" i="13"/>
  <c r="S228" i="13"/>
  <c r="S240" i="13"/>
  <c r="P283" i="13"/>
  <c r="S283" i="13"/>
  <c r="U283" i="13"/>
  <c r="V282" i="13"/>
  <c r="U269" i="13"/>
  <c r="P269" i="13"/>
  <c r="P277" i="13"/>
  <c r="U277" i="13"/>
  <c r="P273" i="13"/>
  <c r="U273" i="13"/>
  <c r="U282" i="13"/>
  <c r="S282" i="13"/>
  <c r="P282" i="13"/>
  <c r="P272" i="13"/>
  <c r="U272" i="13"/>
  <c r="P267" i="13"/>
  <c r="U267" i="13"/>
  <c r="V280" i="13"/>
  <c r="U265" i="13"/>
  <c r="P265" i="13"/>
  <c r="V278" i="13"/>
  <c r="P249" i="13"/>
  <c r="V262" i="13"/>
  <c r="U249" i="13"/>
  <c r="P225" i="13"/>
  <c r="R225" i="13"/>
  <c r="U225" i="13"/>
  <c r="P256" i="13"/>
  <c r="U256" i="13"/>
  <c r="V269" i="13"/>
  <c r="P230" i="13"/>
  <c r="R230" i="13"/>
  <c r="U230" i="13"/>
  <c r="P254" i="13"/>
  <c r="V267" i="13"/>
  <c r="U254" i="13"/>
  <c r="S229" i="13"/>
  <c r="S231" i="13"/>
  <c r="S224" i="13"/>
  <c r="S248" i="13"/>
  <c r="S226" i="13"/>
  <c r="S247" i="13"/>
  <c r="S245" i="13"/>
  <c r="P284" i="13"/>
  <c r="S284" i="13"/>
  <c r="U284" i="13"/>
  <c r="U271" i="13"/>
  <c r="V284" i="13"/>
  <c r="P271" i="13"/>
  <c r="P278" i="13"/>
  <c r="U278" i="13"/>
  <c r="P268" i="13"/>
  <c r="V281" i="13"/>
  <c r="U268" i="13"/>
  <c r="V275" i="13"/>
  <c r="U262" i="13"/>
  <c r="P262" i="13"/>
  <c r="U253" i="13"/>
  <c r="V266" i="13"/>
  <c r="P253" i="13"/>
  <c r="V265" i="13"/>
  <c r="U252" i="13"/>
  <c r="P252" i="13"/>
  <c r="U228" i="13"/>
  <c r="P228" i="13"/>
  <c r="R228" i="13"/>
  <c r="P259" i="13"/>
  <c r="V272" i="13"/>
  <c r="U259" i="13"/>
  <c r="I162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170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239" i="13"/>
  <c r="I240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S128" i="13"/>
  <c r="R128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R146" i="13"/>
  <c r="S146" i="13"/>
  <c r="R149" i="13"/>
  <c r="S149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28" i="13"/>
  <c r="I241" i="13"/>
  <c r="I242" i="13"/>
  <c r="R150" i="13"/>
  <c r="S150" i="13"/>
  <c r="I229" i="13"/>
  <c r="I265" i="13"/>
  <c r="I266" i="13"/>
  <c r="I205" i="13"/>
  <c r="I267" i="13"/>
  <c r="I230" i="13"/>
  <c r="I231" i="13"/>
  <c r="I232" i="13"/>
  <c r="S125" i="13"/>
  <c r="R125" i="13"/>
  <c r="R147" i="13"/>
  <c r="S147" i="13"/>
  <c r="I233" i="13"/>
  <c r="I225" i="13"/>
  <c r="I234" i="13"/>
  <c r="S145" i="13"/>
  <c r="R145" i="13"/>
  <c r="R148" i="13"/>
  <c r="S148" i="13"/>
  <c r="S127" i="13"/>
  <c r="R127" i="13"/>
  <c r="I226" i="13"/>
  <c r="R126" i="13"/>
  <c r="S126" i="13"/>
  <c r="S244" i="13"/>
  <c r="S233" i="13"/>
  <c r="S243" i="13"/>
  <c r="S232" i="13"/>
  <c r="S238" i="13"/>
  <c r="S236" i="13"/>
  <c r="S242" i="13"/>
  <c r="S241" i="13"/>
  <c r="S237" i="13"/>
  <c r="S235" i="13"/>
  <c r="S234" i="13"/>
  <c r="S223" i="13"/>
  <c r="S222" i="13"/>
  <c r="S221" i="13"/>
  <c r="S220" i="13"/>
  <c r="V252" i="13"/>
  <c r="R239" i="13"/>
  <c r="P239" i="13"/>
  <c r="U239" i="13"/>
  <c r="R246" i="13"/>
  <c r="P246" i="13"/>
  <c r="U246" i="13"/>
  <c r="V259" i="13"/>
  <c r="V264" i="13"/>
  <c r="U251" i="13"/>
  <c r="P251" i="13"/>
  <c r="U250" i="13"/>
  <c r="P250" i="13"/>
  <c r="V263" i="13"/>
  <c r="V258" i="13"/>
  <c r="R245" i="13"/>
  <c r="P245" i="13"/>
  <c r="U245" i="13"/>
  <c r="R224" i="13"/>
  <c r="P224" i="13"/>
  <c r="U224" i="13"/>
  <c r="V253" i="13"/>
  <c r="R240" i="13"/>
  <c r="P240" i="13"/>
  <c r="U240" i="13"/>
  <c r="R244" i="13"/>
  <c r="V257" i="13"/>
  <c r="U244" i="13"/>
  <c r="P244" i="13"/>
  <c r="V245" i="13"/>
  <c r="R232" i="13"/>
  <c r="U232" i="13"/>
  <c r="P232" i="13"/>
  <c r="R243" i="13"/>
  <c r="P243" i="13"/>
  <c r="U243" i="13"/>
  <c r="V256" i="13"/>
  <c r="R242" i="13"/>
  <c r="V255" i="13"/>
  <c r="U242" i="13"/>
  <c r="P242" i="13"/>
  <c r="P241" i="13"/>
  <c r="V254" i="13"/>
  <c r="R241" i="13"/>
  <c r="U241" i="13"/>
  <c r="R233" i="13"/>
  <c r="U233" i="13"/>
  <c r="P233" i="13"/>
  <c r="V246" i="13"/>
  <c r="V250" i="13"/>
  <c r="R237" i="13"/>
  <c r="P237" i="13"/>
  <c r="U237" i="13"/>
  <c r="R235" i="13"/>
  <c r="V248" i="13"/>
  <c r="U235" i="13"/>
  <c r="R238" i="13"/>
  <c r="U238" i="13"/>
  <c r="P238" i="13"/>
  <c r="V251" i="13"/>
  <c r="V249" i="13"/>
  <c r="R236" i="13"/>
  <c r="P236" i="13"/>
  <c r="U236" i="13"/>
  <c r="P234" i="13"/>
  <c r="V247" i="13"/>
  <c r="U234" i="13"/>
  <c r="R234" i="13"/>
  <c r="P231" i="13"/>
  <c r="U231" i="13"/>
  <c r="R231" i="13"/>
  <c r="V244" i="13"/>
  <c r="R223" i="13"/>
  <c r="U223" i="13"/>
  <c r="P223" i="13"/>
  <c r="R222" i="13"/>
  <c r="P222" i="13"/>
  <c r="U222" i="13"/>
  <c r="R221" i="13"/>
  <c r="P221" i="13"/>
  <c r="U221" i="13"/>
  <c r="R220" i="13"/>
  <c r="P220" i="13"/>
  <c r="U220" i="13"/>
</calcChain>
</file>

<file path=xl/sharedStrings.xml><?xml version="1.0" encoding="utf-8"?>
<sst xmlns="http://schemas.openxmlformats.org/spreadsheetml/2006/main" count="11927" uniqueCount="157">
  <si>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</si>
  <si>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</si>
  <si>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</si>
  <si>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</si>
  <si>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</si>
  <si>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</si>
  <si>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</si>
  <si>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</si>
  <si>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</si>
  <si>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</si>
  <si>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</si>
  <si>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</si>
  <si>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</si>
  <si>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</si>
  <si>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</si>
  <si>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</si>
  <si>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</si>
  <si>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</si>
  <si>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</si>
  <si>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</si>
  <si>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</si>
  <si>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</si>
  <si>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</si>
  <si>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</si>
  <si>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</si>
  <si>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</si>
  <si>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</si>
  <si>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</si>
  <si>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</si>
  <si>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</si>
  <si>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</si>
  <si>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</si>
  <si>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</si>
  <si>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</si>
  <si>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</si>
  <si>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</si>
  <si>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</si>
  <si>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</si>
  <si>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</si>
  <si>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</si>
  <si>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</si>
  <si>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</si>
  <si>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</si>
  <si>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</si>
  <si>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</si>
  <si>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</si>
  <si>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</si>
  <si>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</si>
  <si>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</si>
  <si>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</si>
  <si>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</si>
  <si>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</si>
  <si>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</si>
  <si>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</si>
  <si>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</si>
  <si>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</si>
  <si>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</si>
  <si>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</si>
  <si>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</si>
  <si>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</si>
  <si>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</si>
  <si>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</si>
  <si>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</si>
  <si>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</si>
  <si>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</si>
  <si>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</si>
  <si>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</si>
  <si>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</si>
  <si>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</si>
  <si>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</si>
  <si>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</si>
  <si>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</si>
  <si>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</si>
  <si>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</si>
  <si>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</si>
  <si>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</si>
  <si>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</si>
  <si>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</si>
  <si>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</si>
  <si>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</si>
  <si>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</si>
  <si>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</si>
  <si>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</si>
  <si>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</si>
  <si>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</si>
  <si>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</si>
  <si>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</si>
  <si>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</si>
  <si>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</si>
  <si>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</si>
  <si>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</si>
  <si>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</si>
  <si>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</si>
  <si>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</si>
  <si>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</si>
  <si>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</si>
  <si>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</si>
  <si>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</si>
  <si>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</si>
  <si>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</si>
  <si>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</si>
  <si>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</si>
  <si>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</si>
  <si>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</si>
  <si>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</si>
  <si>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</si>
  <si>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</si>
  <si>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</si>
  <si>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</si>
  <si>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</si>
  <si>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</si>
  <si>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</si>
  <si>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</si>
  <si>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</si>
  <si>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</si>
  <si>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</si>
  <si>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</si>
  <si>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</si>
  <si>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</si>
  <si>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</si>
  <si>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</si>
  <si>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</si>
  <si>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</si>
  <si>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</si>
  <si>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</si>
  <si>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</si>
  <si>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</si>
  <si>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</si>
  <si>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</si>
  <si>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</si>
  <si>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</si>
  <si>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</si>
  <si>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</si>
  <si>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</si>
  <si>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</si>
  <si>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</si>
  <si>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</si>
  <si>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</si>
  <si>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</si>
  <si>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</si>
  <si>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</si>
  <si>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</si>
  <si>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</si>
  <si>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</si>
  <si>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</si>
  <si>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</si>
  <si>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</si>
  <si>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</si>
  <si>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</si>
  <si>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</si>
  <si>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</si>
  <si>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</si>
  <si>
    <t>prom diario</t>
  </si>
  <si>
    <t>muertos esperados</t>
  </si>
  <si>
    <t>crecimiento semanal</t>
  </si>
  <si>
    <t>letalidad hoy</t>
  </si>
  <si>
    <t>muertos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</si>
</sst>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4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1" fontId="0" fillId="0" borderId="1" xfId="43" applyNumberFormat="1" applyFont="1" applyBorder="1" applyAlignment="1">
      <alignment horizontal="center" vertic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3" fontId="0" fillId="2" borderId="0" xfId="0" applyNumberFormat="1" applyFill="1" applyAlignment="1">
      <alignment horizontal="center"/>
    </xf>
    <xf numFmtId="3" fontId="17" fillId="38" borderId="0" xfId="0" applyNumberFormat="1" applyFont="1" applyFill="1" applyAlignment="1">
      <alignment horizontal="center"/>
    </xf>
    <xf numFmtId="14" fontId="38" fillId="38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/>
    </xf>
    <xf numFmtId="3" fontId="4" fillId="0" borderId="55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4" fontId="0" fillId="0" borderId="39" xfId="0" applyNumberFormat="1" applyFill="1" applyBorder="1" applyAlignment="1">
      <alignment horizontal="center" vertical="center"/>
    </xf>
    <xf numFmtId="14" fontId="0" fillId="0" borderId="55" xfId="0" applyNumberFormat="1" applyFill="1" applyBorder="1" applyAlignment="1">
      <alignment horizontal="center" vertical="center"/>
    </xf>
    <xf numFmtId="14" fontId="37" fillId="0" borderId="0" xfId="0" applyNumberFormat="1" applyFont="1" applyFill="1" applyBorder="1" applyAlignment="1">
      <alignment horizontal="center" vertical="center"/>
    </xf>
    <xf numFmtId="0" fontId="35" fillId="0" borderId="39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3" fontId="0" fillId="0" borderId="2" xfId="43" applyNumberFormat="1" applyFont="1" applyBorder="1" applyAlignment="1">
      <alignment horizontal="center" vertical="center"/>
    </xf>
    <xf numFmtId="3" fontId="1" fillId="0" borderId="0" xfId="43" applyNumberFormat="1" applyFont="1" applyBorder="1" applyAlignment="1">
      <alignment horizontal="center" vertical="center"/>
    </xf>
    <xf numFmtId="3" fontId="2" fillId="0" borderId="5" xfId="43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" fontId="17" fillId="38" borderId="0" xfId="0" applyNumberFormat="1" applyFont="1" applyFill="1" applyAlignment="1">
      <alignment horizontal="center"/>
    </xf>
    <xf numFmtId="14" fontId="37" fillId="42" borderId="1" xfId="0" applyNumberFormat="1" applyFont="1" applyFill="1" applyBorder="1" applyAlignment="1">
      <alignment horizontal="center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197</xdr:row>
      <xdr:rowOff>0</xdr:rowOff>
    </xdr:from>
    <xdr:to>
      <xdr:col>2</xdr:col>
      <xdr:colOff>304800</xdr:colOff>
      <xdr:row>198</xdr:row>
      <xdr:rowOff>96982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33378121-269A-4F8D-A916-E9E5E3C02F0E}"/>
            </a:ext>
          </a:extLst>
        </xdr:cNvPr>
        <xdr:cNvSpPr>
          <a:spLocks noChangeAspect="1" noChangeArrowheads="1"/>
        </xdr:cNvSpPr>
      </xdr:nvSpPr>
      <xdr:spPr bwMode="auto">
        <a:xfrm>
          <a:off x="1628775" y="3697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198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AA420870-065A-4A02-85BF-E5B1FE8ABE9C}"/>
            </a:ext>
          </a:extLst>
        </xdr:cNvPr>
        <xdr:cNvSpPr>
          <a:spLocks noChangeAspect="1" noChangeArrowheads="1"/>
        </xdr:cNvSpPr>
      </xdr:nvSpPr>
      <xdr:spPr bwMode="auto">
        <a:xfrm>
          <a:off x="1628775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199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C502FD12-71FE-4BDB-A7DC-74377B1D6937}"/>
            </a:ext>
          </a:extLst>
        </xdr:cNvPr>
        <xdr:cNvSpPr>
          <a:spLocks noChangeAspect="1" noChangeArrowheads="1"/>
        </xdr:cNvSpPr>
      </xdr:nvSpPr>
      <xdr:spPr bwMode="auto">
        <a:xfrm>
          <a:off x="1628775" y="373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285"/>
  <sheetViews>
    <sheetView zoomScale="70" zoomScaleNormal="70" workbookViewId="0">
      <pane ySplit="1" topLeftCell="A266" activePane="bottomLeft" state="frozen"/>
      <selection pane="bottomLeft" activeCell="D277" sqref="D277:D283"/>
    </sheetView>
  </sheetViews>
  <sheetFormatPr baseColWidth="10" defaultRowHeight="15" x14ac:dyDescent="0.25"/>
  <cols>
    <col min="1" max="1" width="12.42578125" style="74" customWidth="1"/>
    <col min="2" max="2" width="12" style="95" bestFit="1" customWidth="1"/>
    <col min="3" max="3" width="13.140625" style="95" bestFit="1" customWidth="1"/>
    <col min="4" max="4" width="9.140625" style="95" customWidth="1"/>
    <col min="5" max="5" width="10" style="95" customWidth="1"/>
    <col min="6" max="6" width="13.140625" style="83" customWidth="1"/>
    <col min="7" max="7" width="9.42578125" style="95" customWidth="1"/>
    <col min="8" max="8" width="11.5703125" style="95" bestFit="1" customWidth="1"/>
    <col min="9" max="9" width="13.140625" style="95" bestFit="1" customWidth="1"/>
    <col min="10" max="10" width="12" style="36" customWidth="1"/>
    <col min="11" max="11" width="13.140625" style="36" customWidth="1"/>
    <col min="12" max="12" width="14.140625" style="95" customWidth="1"/>
    <col min="13" max="16" width="11.5703125" style="95" bestFit="1" customWidth="1"/>
    <col min="17" max="17" width="12.5703125" style="95" customWidth="1"/>
    <col min="18" max="18" width="8" style="25" customWidth="1"/>
    <col min="19" max="19" width="10" style="6" customWidth="1"/>
    <col min="20" max="22" width="11.42578125" style="6"/>
    <col min="23" max="23" width="13.7109375" style="6" customWidth="1"/>
    <col min="24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151</v>
      </c>
      <c r="R1" s="1" t="s">
        <v>131</v>
      </c>
      <c r="S1" s="4" t="s">
        <v>130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69" si="0">F6-F5</f>
        <v>0</v>
      </c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77" si="1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1"/>
        <v>0</v>
      </c>
      <c r="S15" s="6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1"/>
        <v>0</v>
      </c>
      <c r="S16" s="6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29">
        <f t="shared" si="0"/>
        <v>18</v>
      </c>
      <c r="R17" s="72">
        <f t="shared" si="1"/>
        <v>0</v>
      </c>
      <c r="S17" s="6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29">
        <f t="shared" si="0"/>
        <v>5</v>
      </c>
      <c r="R18" s="72">
        <f t="shared" si="1"/>
        <v>0</v>
      </c>
      <c r="S18" s="6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29">
        <f t="shared" si="0"/>
        <v>4</v>
      </c>
      <c r="R19" s="72">
        <f t="shared" si="1"/>
        <v>0</v>
      </c>
      <c r="S19" s="6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29">
        <f t="shared" si="0"/>
        <v>4</v>
      </c>
      <c r="R20" s="72">
        <f t="shared" si="1"/>
        <v>0</v>
      </c>
      <c r="S20" s="6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29">
        <f t="shared" si="0"/>
        <v>20</v>
      </c>
      <c r="R21" s="72">
        <f t="shared" si="1"/>
        <v>0</v>
      </c>
      <c r="S21" s="62">
        <f t="shared" si="2"/>
        <v>1.5037593984962405E-2</v>
      </c>
    </row>
    <row r="22" spans="1:19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29">
        <f t="shared" si="0"/>
        <v>1</v>
      </c>
      <c r="R22" s="72">
        <f t="shared" si="1"/>
        <v>0</v>
      </c>
      <c r="S22" s="6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29">
        <f t="shared" si="0"/>
        <v>11</v>
      </c>
      <c r="R23" s="72">
        <f t="shared" si="1"/>
        <v>0</v>
      </c>
      <c r="S23" s="6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29">
        <f t="shared" si="0"/>
        <v>9</v>
      </c>
      <c r="R24" s="72">
        <f t="shared" si="1"/>
        <v>0</v>
      </c>
      <c r="S24" s="6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29">
        <f t="shared" si="0"/>
        <v>3</v>
      </c>
      <c r="R25" s="72">
        <f t="shared" si="1"/>
        <v>4.9800796812749001E-2</v>
      </c>
      <c r="S25" s="6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29">
        <f t="shared" si="0"/>
        <v>5</v>
      </c>
      <c r="R26" s="72">
        <f t="shared" si="1"/>
        <v>0</v>
      </c>
      <c r="S26" s="6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29">
        <f t="shared" si="0"/>
        <v>11</v>
      </c>
      <c r="R27" s="72">
        <f t="shared" si="1"/>
        <v>6.9291338582677164E-2</v>
      </c>
      <c r="S27" s="6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29">
        <f t="shared" si="0"/>
        <v>137</v>
      </c>
      <c r="R28" s="72">
        <f t="shared" si="1"/>
        <v>9.2657342657342656E-2</v>
      </c>
      <c r="S28" s="6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29">
        <f t="shared" si="0"/>
        <v>12</v>
      </c>
      <c r="R29" s="72">
        <f t="shared" si="1"/>
        <v>7.8459343794579167E-2</v>
      </c>
      <c r="S29" s="6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29">
        <f t="shared" si="0"/>
        <v>8</v>
      </c>
      <c r="R30" s="72">
        <f t="shared" si="1"/>
        <v>7.0694087403598976E-2</v>
      </c>
      <c r="S30" s="6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29">
        <f t="shared" si="0"/>
        <v>8</v>
      </c>
      <c r="R31" s="72">
        <f t="shared" si="1"/>
        <v>8.5308056872037921E-2</v>
      </c>
      <c r="S31" s="6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29">
        <f t="shared" si="0"/>
        <v>10</v>
      </c>
      <c r="R32" s="72">
        <f t="shared" si="1"/>
        <v>8.5239085239085244E-2</v>
      </c>
      <c r="S32" s="6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29">
        <f t="shared" si="0"/>
        <v>13</v>
      </c>
      <c r="R33" s="72">
        <f t="shared" si="1"/>
        <v>8.3333333333333329E-2</v>
      </c>
      <c r="S33" s="6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29">
        <f t="shared" si="0"/>
        <v>1</v>
      </c>
      <c r="R34" s="72">
        <f t="shared" si="1"/>
        <v>7.7127659574468085E-2</v>
      </c>
      <c r="S34" s="6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29">
        <f t="shared" si="0"/>
        <v>45</v>
      </c>
      <c r="R35" s="72">
        <f t="shared" si="1"/>
        <v>7.945900253592561E-2</v>
      </c>
      <c r="S35" s="6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29">
        <f t="shared" si="0"/>
        <v>13</v>
      </c>
      <c r="R36" s="72">
        <f t="shared" si="1"/>
        <v>7.7607113985448672E-2</v>
      </c>
      <c r="S36" s="6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29">
        <f t="shared" si="0"/>
        <v>20</v>
      </c>
      <c r="R37" s="72">
        <f t="shared" si="1"/>
        <v>7.5558982266769464E-2</v>
      </c>
      <c r="S37" s="6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29">
        <f t="shared" si="0"/>
        <v>7</v>
      </c>
      <c r="R38" s="72">
        <f t="shared" si="1"/>
        <v>7.179487179487179E-2</v>
      </c>
      <c r="S38" s="6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29">
        <f t="shared" si="0"/>
        <v>10</v>
      </c>
      <c r="R39" s="72">
        <f t="shared" si="1"/>
        <v>6.805555555555555E-2</v>
      </c>
      <c r="S39" s="6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29">
        <f t="shared" si="0"/>
        <v>65</v>
      </c>
      <c r="R40" s="72">
        <f t="shared" si="1"/>
        <v>7.9146593255333797E-2</v>
      </c>
      <c r="S40" s="6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29">
        <f t="shared" si="0"/>
        <v>28</v>
      </c>
      <c r="R41" s="72">
        <f t="shared" si="1"/>
        <v>5.2365930599369087E-2</v>
      </c>
      <c r="S41" s="6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29">
        <f t="shared" si="0"/>
        <v>47</v>
      </c>
      <c r="R42" s="72">
        <f t="shared" si="1"/>
        <v>7.07133917396746E-2</v>
      </c>
      <c r="S42" s="6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29">
        <f t="shared" si="0"/>
        <v>44</v>
      </c>
      <c r="R43" s="72">
        <f t="shared" si="1"/>
        <v>7.160493827160494E-2</v>
      </c>
      <c r="S43" s="6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29">
        <f t="shared" si="0"/>
        <v>37</v>
      </c>
      <c r="R44" s="72">
        <f t="shared" si="1"/>
        <v>6.7164179104477612E-2</v>
      </c>
      <c r="S44" s="6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29">
        <f t="shared" si="0"/>
        <v>35</v>
      </c>
      <c r="R45" s="72">
        <f t="shared" si="1"/>
        <v>6.6192560175054704E-2</v>
      </c>
      <c r="S45" s="6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29">
        <f t="shared" si="0"/>
        <v>35</v>
      </c>
      <c r="R46" s="72">
        <f t="shared" si="1"/>
        <v>6.6985645933014357E-2</v>
      </c>
      <c r="S46" s="6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29">
        <f t="shared" si="0"/>
        <v>19</v>
      </c>
      <c r="R47" s="72">
        <f t="shared" si="1"/>
        <v>6.5329218106995879E-2</v>
      </c>
      <c r="S47" s="6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29">
        <f t="shared" si="0"/>
        <v>24</v>
      </c>
      <c r="R48" s="72">
        <f t="shared" si="1"/>
        <v>6.1561561561561562E-2</v>
      </c>
      <c r="S48" s="6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29">
        <f t="shared" si="0"/>
        <v>28</v>
      </c>
      <c r="R49" s="72">
        <f t="shared" si="1"/>
        <v>6.0869565217391307E-2</v>
      </c>
      <c r="S49" s="6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29">
        <f t="shared" si="0"/>
        <v>103</v>
      </c>
      <c r="R50" s="72">
        <f t="shared" si="1"/>
        <v>6.2957540263543194E-2</v>
      </c>
      <c r="S50" s="6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29">
        <f t="shared" si="0"/>
        <v>32</v>
      </c>
      <c r="R51" s="72">
        <f t="shared" si="1"/>
        <v>6.1763319189061763E-2</v>
      </c>
      <c r="S51" s="6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29">
        <f t="shared" si="0"/>
        <v>47</v>
      </c>
      <c r="R52" s="72">
        <f t="shared" si="1"/>
        <v>6.1538461538461542E-2</v>
      </c>
      <c r="S52" s="6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29">
        <f t="shared" si="0"/>
        <v>57</v>
      </c>
      <c r="R53" s="72">
        <f t="shared" si="1"/>
        <v>6.1464690496948561E-2</v>
      </c>
      <c r="S53" s="6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29">
        <f t="shared" si="0"/>
        <v>54</v>
      </c>
      <c r="R54" s="72">
        <f t="shared" si="1"/>
        <v>5.9975010412328195E-2</v>
      </c>
      <c r="S54" s="6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29">
        <f t="shared" si="0"/>
        <v>77</v>
      </c>
      <c r="R55" s="72">
        <f t="shared" si="1"/>
        <v>5.5868167202572344E-2</v>
      </c>
      <c r="S55" s="6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29">
        <f t="shared" si="0"/>
        <v>33</v>
      </c>
      <c r="R56" s="72">
        <f t="shared" si="1"/>
        <v>5.8984374999999999E-2</v>
      </c>
      <c r="S56" s="6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29">
        <f t="shared" si="0"/>
        <v>22</v>
      </c>
      <c r="R57" s="72">
        <f t="shared" si="1"/>
        <v>5.8623298033282902E-2</v>
      </c>
      <c r="S57" s="6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29">
        <f t="shared" si="0"/>
        <v>30</v>
      </c>
      <c r="R58" s="72">
        <f t="shared" si="1"/>
        <v>5.6451612903225805E-2</v>
      </c>
      <c r="S58" s="6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29">
        <f t="shared" si="0"/>
        <v>64</v>
      </c>
      <c r="R59" s="72">
        <f t="shared" si="1"/>
        <v>5.5772646536412077E-2</v>
      </c>
      <c r="S59" s="6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29">
        <f t="shared" si="0"/>
        <v>36</v>
      </c>
      <c r="R60" s="72">
        <f t="shared" si="1"/>
        <v>5.3803975325565453E-2</v>
      </c>
      <c r="S60" s="6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29">
        <f t="shared" si="0"/>
        <v>28</v>
      </c>
      <c r="R61" s="72">
        <f t="shared" si="1"/>
        <v>5.4904586541680615E-2</v>
      </c>
      <c r="S61" s="6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29">
        <f t="shared" si="0"/>
        <v>34</v>
      </c>
      <c r="R62" s="72">
        <f t="shared" si="1"/>
        <v>5.307443365695793E-2</v>
      </c>
      <c r="S62" s="6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29">
        <f t="shared" si="0"/>
        <v>88</v>
      </c>
      <c r="R63" s="72">
        <f t="shared" si="1"/>
        <v>4.7157622739018086E-2</v>
      </c>
      <c r="S63" s="6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29">
        <f t="shared" si="0"/>
        <v>30</v>
      </c>
      <c r="R64" s="72">
        <f t="shared" si="1"/>
        <v>4.6909667194928686E-2</v>
      </c>
      <c r="S64" s="6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29">
        <f t="shared" si="0"/>
        <v>52</v>
      </c>
      <c r="R65" s="72">
        <f t="shared" si="1"/>
        <v>4.4245049504950493E-2</v>
      </c>
      <c r="S65" s="6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29">
        <f t="shared" si="0"/>
        <v>77</v>
      </c>
      <c r="R66" s="72">
        <f t="shared" si="1"/>
        <v>4.5290941811637675E-2</v>
      </c>
      <c r="S66" s="6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29">
        <f t="shared" si="0"/>
        <v>0</v>
      </c>
      <c r="R67" s="72">
        <f t="shared" si="1"/>
        <v>4.3291284403669722E-2</v>
      </c>
      <c r="S67" s="6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29">
        <f t="shared" si="0"/>
        <v>127</v>
      </c>
      <c r="R68" s="72">
        <f t="shared" si="1"/>
        <v>4.3732590529247911E-2</v>
      </c>
      <c r="S68" s="6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29">
        <f t="shared" si="0"/>
        <v>29</v>
      </c>
      <c r="R69" s="72">
        <f t="shared" si="1"/>
        <v>4.3022317827372952E-2</v>
      </c>
      <c r="S69" s="6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29">
        <f t="shared" ref="Q70:Q133" si="4">F70-F69</f>
        <v>80</v>
      </c>
      <c r="R70" s="72">
        <f t="shared" si="1"/>
        <v>4.2137718396711203E-2</v>
      </c>
      <c r="S70" s="6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29">
        <f t="shared" si="4"/>
        <v>25</v>
      </c>
      <c r="R71" s="72">
        <f t="shared" si="1"/>
        <v>4.1443198439785472E-2</v>
      </c>
      <c r="S71" s="6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29">
        <f t="shared" si="4"/>
        <v>404</v>
      </c>
      <c r="R72" s="72">
        <f t="shared" si="1"/>
        <v>3.6953242835595777E-2</v>
      </c>
      <c r="S72" s="6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29">
        <f t="shared" si="4"/>
        <v>119</v>
      </c>
      <c r="R73" s="72">
        <f t="shared" si="1"/>
        <v>3.5294117647058823E-2</v>
      </c>
      <c r="S73" s="6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29">
        <f t="shared" si="4"/>
        <v>112</v>
      </c>
      <c r="R74" s="72">
        <f t="shared" si="1"/>
        <v>3.4780578898225958E-2</v>
      </c>
      <c r="S74" s="6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29">
        <f t="shared" si="4"/>
        <v>37</v>
      </c>
      <c r="R75" s="72">
        <f t="shared" si="1"/>
        <v>3.2904772281542823E-2</v>
      </c>
      <c r="S75" s="6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29">
        <f t="shared" si="4"/>
        <v>35</v>
      </c>
      <c r="R76" s="72">
        <f t="shared" si="1"/>
        <v>3.160270880361174E-2</v>
      </c>
      <c r="S76" s="6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29">
        <f t="shared" si="4"/>
        <v>56</v>
      </c>
      <c r="R77" s="72">
        <f t="shared" si="1"/>
        <v>3.125E-2</v>
      </c>
      <c r="S77" s="6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29">
        <f t="shared" si="4"/>
        <v>247</v>
      </c>
      <c r="R78" s="72">
        <f t="shared" ref="R78:R141" si="5">G78/(C78-E78-F78)</f>
        <v>3.0486613249951142E-2</v>
      </c>
      <c r="S78" s="6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29">
        <f t="shared" si="4"/>
        <v>61</v>
      </c>
      <c r="R79" s="72">
        <f t="shared" si="5"/>
        <v>2.9363487142075505E-2</v>
      </c>
      <c r="S79" s="62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29">
        <f t="shared" si="4"/>
        <v>99</v>
      </c>
      <c r="R80" s="72">
        <f t="shared" si="5"/>
        <v>2.924076607387141E-2</v>
      </c>
      <c r="S80" s="62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29">
        <f t="shared" si="4"/>
        <v>30</v>
      </c>
      <c r="R81" s="72">
        <f t="shared" si="5"/>
        <v>2.66542693320936E-2</v>
      </c>
      <c r="S81" s="62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29">
        <f t="shared" si="4"/>
        <v>468</v>
      </c>
      <c r="R82" s="72">
        <f t="shared" si="5"/>
        <v>2.5874962608435536E-2</v>
      </c>
      <c r="S82" s="62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29">
        <f t="shared" si="4"/>
        <v>202</v>
      </c>
      <c r="R83" s="72">
        <f t="shared" si="5"/>
        <v>2.5222965440356744E-2</v>
      </c>
      <c r="S83" s="62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29">
        <f t="shared" si="4"/>
        <v>267</v>
      </c>
      <c r="R84" s="72">
        <f t="shared" si="5"/>
        <v>2.3737704918032787E-2</v>
      </c>
      <c r="S84" s="62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29">
        <f t="shared" si="4"/>
        <v>168</v>
      </c>
      <c r="R85" s="72">
        <f t="shared" si="5"/>
        <v>2.5394045534150613E-2</v>
      </c>
      <c r="S85" s="62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29">
        <f t="shared" si="4"/>
        <v>182</v>
      </c>
      <c r="R86" s="72">
        <f t="shared" si="5"/>
        <v>2.9800929789009417E-2</v>
      </c>
      <c r="S86" s="62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29">
        <f t="shared" si="4"/>
        <v>268</v>
      </c>
      <c r="R87" s="72">
        <f t="shared" si="5"/>
        <v>2.8811252268602542E-2</v>
      </c>
      <c r="S87" s="62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29">
        <f t="shared" si="4"/>
        <v>171</v>
      </c>
      <c r="R88" s="72">
        <f t="shared" si="5"/>
        <v>2.7535615564533277E-2</v>
      </c>
      <c r="S88" s="62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29">
        <f t="shared" si="4"/>
        <v>312</v>
      </c>
      <c r="R89" s="72">
        <f t="shared" si="5"/>
        <v>2.4900500051025613E-2</v>
      </c>
      <c r="S89" s="62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29">
        <f t="shared" si="4"/>
        <v>236</v>
      </c>
      <c r="R90" s="72">
        <f t="shared" si="5"/>
        <v>2.4734299516908212E-2</v>
      </c>
      <c r="S90" s="62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29">
        <f t="shared" si="4"/>
        <v>185</v>
      </c>
      <c r="R91" s="72">
        <f t="shared" si="5"/>
        <v>2.5206190343805022E-2</v>
      </c>
      <c r="S91" s="62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29">
        <f t="shared" si="4"/>
        <v>188</v>
      </c>
      <c r="R92" s="72">
        <f t="shared" si="5"/>
        <v>2.430493273542601E-2</v>
      </c>
      <c r="S92" s="62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29">
        <f t="shared" si="4"/>
        <v>187</v>
      </c>
      <c r="R93" s="72">
        <f t="shared" si="5"/>
        <v>2.4295596423148304E-2</v>
      </c>
      <c r="S93" s="62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29">
        <f t="shared" si="4"/>
        <v>97</v>
      </c>
      <c r="R94" s="72">
        <f t="shared" si="5"/>
        <v>2.3085408131106207E-2</v>
      </c>
      <c r="S94" s="62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29">
        <f t="shared" si="4"/>
        <v>95</v>
      </c>
      <c r="R95" s="72">
        <f t="shared" si="5"/>
        <v>1.8369009702984964E-2</v>
      </c>
      <c r="S95" s="62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29">
        <f t="shared" si="4"/>
        <v>92</v>
      </c>
      <c r="R96" s="72">
        <f t="shared" si="5"/>
        <v>1.750439367311072E-2</v>
      </c>
      <c r="S96" s="62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29">
        <f t="shared" si="4"/>
        <v>729</v>
      </c>
      <c r="R97" s="72">
        <f t="shared" si="5"/>
        <v>1.7078061259766301E-2</v>
      </c>
      <c r="S97" s="62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29">
        <f t="shared" si="4"/>
        <v>396</v>
      </c>
      <c r="R98" s="72">
        <f t="shared" si="5"/>
        <v>1.5851602023608771E-2</v>
      </c>
      <c r="S98" s="62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29">
        <f t="shared" si="4"/>
        <v>263</v>
      </c>
      <c r="R99" s="72">
        <f t="shared" si="5"/>
        <v>1.7253727456214597E-2</v>
      </c>
      <c r="S99" s="62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29">
        <f t="shared" si="4"/>
        <v>423</v>
      </c>
      <c r="R100" s="72">
        <f t="shared" si="5"/>
        <v>1.6383230548807078E-2</v>
      </c>
      <c r="S100" s="62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29">
        <f t="shared" si="4"/>
        <v>341</v>
      </c>
      <c r="R101" s="72">
        <f t="shared" si="5"/>
        <v>1.9208037825059102E-2</v>
      </c>
      <c r="S101" s="62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29">
        <f t="shared" si="4"/>
        <v>411</v>
      </c>
      <c r="R102" s="72">
        <f t="shared" si="5"/>
        <v>1.6512734396865379E-2</v>
      </c>
      <c r="S102" s="62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29">
        <f t="shared" si="4"/>
        <v>340</v>
      </c>
      <c r="R103" s="72">
        <f t="shared" si="5"/>
        <v>1.4817950889077053E-2</v>
      </c>
      <c r="S103" s="62">
        <f t="shared" si="6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29">
        <f t="shared" si="4"/>
        <v>481</v>
      </c>
      <c r="R104" s="72">
        <f t="shared" si="5"/>
        <v>1.4711789515967062E-2</v>
      </c>
      <c r="S104" s="62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29">
        <f t="shared" si="4"/>
        <v>327</v>
      </c>
      <c r="R105" s="72">
        <f t="shared" si="5"/>
        <v>1.5153694912003069E-2</v>
      </c>
      <c r="S105" s="62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29">
        <f t="shared" si="4"/>
        <v>273</v>
      </c>
      <c r="R106" s="72">
        <f t="shared" si="5"/>
        <v>1.4884917535719208E-2</v>
      </c>
      <c r="S106" s="62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29">
        <f t="shared" si="4"/>
        <v>348</v>
      </c>
      <c r="R107" s="72">
        <f t="shared" si="5"/>
        <v>1.5152180596424964E-2</v>
      </c>
      <c r="S107" s="62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29">
        <f t="shared" si="4"/>
        <v>209</v>
      </c>
      <c r="R108" s="72">
        <f t="shared" si="5"/>
        <v>1.4758759093569697E-2</v>
      </c>
      <c r="S108" s="62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29">
        <f t="shared" si="4"/>
        <v>1130</v>
      </c>
      <c r="R109" s="72">
        <f t="shared" si="5"/>
        <v>1.4730282060620777E-2</v>
      </c>
      <c r="S109" s="62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29">
        <f t="shared" si="4"/>
        <v>355</v>
      </c>
      <c r="R110" s="72">
        <f t="shared" si="5"/>
        <v>1.3795717263596741E-2</v>
      </c>
      <c r="S110" s="62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29">
        <f t="shared" si="4"/>
        <v>522</v>
      </c>
      <c r="R111" s="72">
        <f t="shared" si="5"/>
        <v>1.3862106603601964E-2</v>
      </c>
      <c r="S111" s="62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94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29">
        <f t="shared" si="4"/>
        <v>425</v>
      </c>
      <c r="R112" s="72">
        <f t="shared" si="5"/>
        <v>1.3870933929632089E-2</v>
      </c>
      <c r="S112" s="62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194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29">
        <f t="shared" si="4"/>
        <v>423</v>
      </c>
      <c r="R113" s="72">
        <f t="shared" si="5"/>
        <v>1.3657957244655582E-2</v>
      </c>
      <c r="S113" s="62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94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29">
        <f t="shared" si="4"/>
        <v>240</v>
      </c>
      <c r="R114" s="72">
        <f t="shared" si="5"/>
        <v>1.3396448239589135E-2</v>
      </c>
      <c r="S114" s="62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94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29">
        <f t="shared" si="4"/>
        <v>972</v>
      </c>
      <c r="R115" s="72">
        <f t="shared" si="5"/>
        <v>1.3462161604854627E-2</v>
      </c>
      <c r="S115" s="62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194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29">
        <f t="shared" si="4"/>
        <v>3628</v>
      </c>
      <c r="R116" s="72">
        <f t="shared" si="5"/>
        <v>1.4350430208871728E-2</v>
      </c>
      <c r="S116" s="62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94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29">
        <f t="shared" si="4"/>
        <v>727</v>
      </c>
      <c r="R117" s="72">
        <f t="shared" si="5"/>
        <v>1.4479095270733379E-2</v>
      </c>
      <c r="S117" s="62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194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29">
        <f t="shared" si="4"/>
        <v>991</v>
      </c>
      <c r="R118" s="72">
        <f t="shared" si="5"/>
        <v>1.4888882784385903E-2</v>
      </c>
      <c r="S118" s="62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94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29">
        <f t="shared" si="4"/>
        <v>1004</v>
      </c>
      <c r="R119" s="72">
        <f t="shared" si="5"/>
        <v>1.4243118044832543E-2</v>
      </c>
      <c r="S119" s="62">
        <f t="shared" si="6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194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29">
        <f t="shared" si="4"/>
        <v>890</v>
      </c>
      <c r="R120" s="72">
        <f t="shared" si="5"/>
        <v>1.4245745527349264E-2</v>
      </c>
      <c r="S120" s="62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94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29">
        <f t="shared" si="4"/>
        <v>1012</v>
      </c>
      <c r="R121" s="72">
        <f t="shared" si="5"/>
        <v>1.4334420028370206E-2</v>
      </c>
      <c r="S121" s="62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194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29">
        <f t="shared" si="4"/>
        <v>1146</v>
      </c>
      <c r="R122" s="72">
        <f t="shared" si="5"/>
        <v>1.4258281325012001E-2</v>
      </c>
      <c r="S122" s="62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194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29">
        <f t="shared" si="4"/>
        <v>1038</v>
      </c>
      <c r="R123" s="72">
        <f t="shared" si="5"/>
        <v>1.4308132557924859E-2</v>
      </c>
      <c r="S123" s="62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194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29">
        <f t="shared" si="4"/>
        <v>706</v>
      </c>
      <c r="R124" s="72">
        <f t="shared" si="5"/>
        <v>1.4024967524604241E-2</v>
      </c>
      <c r="S124" s="62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194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29">
        <f t="shared" si="4"/>
        <v>1667</v>
      </c>
      <c r="R125" s="72">
        <f t="shared" si="5"/>
        <v>1.4212276988206833E-2</v>
      </c>
      <c r="S125" s="62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194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29">
        <f t="shared" si="4"/>
        <v>934</v>
      </c>
      <c r="R126" s="72">
        <f t="shared" si="5"/>
        <v>1.4149067542960001E-2</v>
      </c>
      <c r="S126" s="62">
        <f t="shared" si="6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94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29">
        <f t="shared" si="4"/>
        <v>1564</v>
      </c>
      <c r="R127" s="72">
        <f t="shared" si="5"/>
        <v>1.41070330120976E-2</v>
      </c>
      <c r="S127" s="62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94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29">
        <f t="shared" si="4"/>
        <v>6407</v>
      </c>
      <c r="R128" s="72">
        <f t="shared" si="5"/>
        <v>1.4266784452296819E-2</v>
      </c>
      <c r="S128" s="62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194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29">
        <f t="shared" si="4"/>
        <v>1811</v>
      </c>
      <c r="R129" s="72">
        <f t="shared" si="5"/>
        <v>1.4269916209433882E-2</v>
      </c>
      <c r="S129" s="62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94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29">
        <f t="shared" si="4"/>
        <v>671</v>
      </c>
      <c r="R130" s="72">
        <f t="shared" si="5"/>
        <v>1.3243178362807074E-2</v>
      </c>
      <c r="S130" s="62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94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29">
        <f t="shared" si="4"/>
        <v>2424</v>
      </c>
      <c r="R131" s="72">
        <f t="shared" si="5"/>
        <v>1.3483499420170214E-2</v>
      </c>
      <c r="S131" s="62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94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29">
        <f t="shared" si="4"/>
        <v>1286</v>
      </c>
      <c r="R132" s="72">
        <f t="shared" si="5"/>
        <v>1.3225416949664176E-2</v>
      </c>
      <c r="S132" s="62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94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29">
        <f t="shared" si="4"/>
        <v>1479</v>
      </c>
      <c r="R133" s="72">
        <f t="shared" si="5"/>
        <v>1.3573908546945408E-2</v>
      </c>
      <c r="S133" s="62">
        <f t="shared" si="6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94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29">
        <f t="shared" ref="Q134:Q197" si="10">F134-F133</f>
        <v>1294</v>
      </c>
      <c r="R134" s="72">
        <f t="shared" si="5"/>
        <v>1.3453797298506128E-2</v>
      </c>
      <c r="S134" s="62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94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29">
        <f t="shared" si="10"/>
        <v>1831</v>
      </c>
      <c r="R135" s="72">
        <f t="shared" si="5"/>
        <v>1.3392547359655818E-2</v>
      </c>
      <c r="S135" s="62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94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29">
        <f t="shared" si="10"/>
        <v>1822</v>
      </c>
      <c r="R136" s="72">
        <f t="shared" si="5"/>
        <v>1.3052175362560427E-2</v>
      </c>
      <c r="S136" s="62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194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29">
        <f t="shared" si="10"/>
        <v>660</v>
      </c>
      <c r="R137" s="72">
        <f t="shared" si="5"/>
        <v>1.2609117361784675E-2</v>
      </c>
      <c r="S137" s="62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19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29">
        <f t="shared" si="10"/>
        <v>0</v>
      </c>
      <c r="R138" s="72">
        <f t="shared" si="5"/>
        <v>1.2221017774675913E-2</v>
      </c>
      <c r="S138" s="62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94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29">
        <f t="shared" si="10"/>
        <v>2827</v>
      </c>
      <c r="R139" s="72">
        <f t="shared" si="5"/>
        <v>1.2157157821744199E-2</v>
      </c>
      <c r="S139" s="62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9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29">
        <f t="shared" si="10"/>
        <v>3306</v>
      </c>
      <c r="R140" s="72">
        <f t="shared" si="5"/>
        <v>1.2262612140277292E-2</v>
      </c>
      <c r="S140" s="62">
        <f t="shared" si="6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19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29">
        <f t="shared" si="10"/>
        <v>2685</v>
      </c>
      <c r="R141" s="72">
        <f t="shared" si="5"/>
        <v>1.2220105153073649E-2</v>
      </c>
      <c r="S141" s="62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194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29">
        <f t="shared" si="10"/>
        <v>1933</v>
      </c>
      <c r="R142" s="72">
        <f t="shared" ref="R142:R147" si="13">G142/(C142-E142-F142)</f>
        <v>1.2175602281899393E-2</v>
      </c>
      <c r="S142" s="62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194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29">
        <f t="shared" si="10"/>
        <v>2284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19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29">
        <f t="shared" si="10"/>
        <v>2632</v>
      </c>
      <c r="R144" s="72">
        <f t="shared" si="13"/>
        <v>1.1429930644232455E-2</v>
      </c>
      <c r="S144" s="62">
        <f t="shared" si="14"/>
        <v>1.8253426739716402E-2</v>
      </c>
    </row>
    <row r="145" spans="1:21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19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29">
        <f t="shared" si="10"/>
        <v>2575</v>
      </c>
      <c r="R145" s="72">
        <f t="shared" si="13"/>
        <v>1.1549019844964991E-2</v>
      </c>
      <c r="S145" s="62">
        <f t="shared" si="14"/>
        <v>1.8284262636789995E-2</v>
      </c>
    </row>
    <row r="146" spans="1:21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19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29">
        <f t="shared" si="10"/>
        <v>2496</v>
      </c>
      <c r="R146" s="72">
        <f t="shared" si="13"/>
        <v>1.1539865525240512E-2</v>
      </c>
      <c r="S146" s="62">
        <f t="shared" si="14"/>
        <v>1.8271502014728359E-2</v>
      </c>
    </row>
    <row r="147" spans="1:21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19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29">
        <f t="shared" si="10"/>
        <v>2057</v>
      </c>
      <c r="R147" s="72">
        <f t="shared" si="13"/>
        <v>1.1412087848942112E-2</v>
      </c>
      <c r="S147" s="62">
        <f t="shared" si="14"/>
        <v>1.8077107662773956E-2</v>
      </c>
    </row>
    <row r="148" spans="1:21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19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29">
        <f t="shared" si="10"/>
        <v>2508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21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194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29">
        <f t="shared" si="10"/>
        <v>2772</v>
      </c>
      <c r="R149" s="72">
        <f t="shared" si="15"/>
        <v>1.1091614133142696E-2</v>
      </c>
      <c r="S149" s="62">
        <f t="shared" si="14"/>
        <v>1.8332323844134867E-2</v>
      </c>
    </row>
    <row r="150" spans="1:21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194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29">
        <f t="shared" si="10"/>
        <v>2741</v>
      </c>
      <c r="R150" s="72">
        <f t="shared" si="15"/>
        <v>1.1113213895197241E-2</v>
      </c>
      <c r="S150" s="62">
        <f t="shared" si="14"/>
        <v>1.8369125567051777E-2</v>
      </c>
    </row>
    <row r="151" spans="1:21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194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29">
        <f t="shared" si="10"/>
        <v>3184</v>
      </c>
      <c r="R151" s="72">
        <f t="shared" si="15"/>
        <v>1.0962700329084777E-2</v>
      </c>
      <c r="S151" s="62">
        <f t="shared" si="14"/>
        <v>1.8567968366482713E-2</v>
      </c>
    </row>
    <row r="152" spans="1:21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19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29">
        <f t="shared" si="10"/>
        <v>2719</v>
      </c>
      <c r="R152" s="72">
        <f t="shared" si="15"/>
        <v>1.0902734571741771E-2</v>
      </c>
      <c r="S152" s="62">
        <f t="shared" si="14"/>
        <v>1.852568190609612E-2</v>
      </c>
    </row>
    <row r="153" spans="1:21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194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29">
        <f t="shared" si="10"/>
        <v>2527</v>
      </c>
      <c r="R153" s="72">
        <f t="shared" si="15"/>
        <v>1.0854399014636118E-2</v>
      </c>
      <c r="S153" s="62">
        <f t="shared" si="14"/>
        <v>1.8296250693232523E-2</v>
      </c>
    </row>
    <row r="154" spans="1:21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194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29">
        <f t="shared" si="10"/>
        <v>2276</v>
      </c>
      <c r="R154" s="72">
        <f t="shared" si="15"/>
        <v>1.0395437973263533E-2</v>
      </c>
      <c r="S154" s="62">
        <f t="shared" si="14"/>
        <v>1.8061698007616915E-2</v>
      </c>
    </row>
    <row r="155" spans="1:21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194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29">
        <f t="shared" si="10"/>
        <v>2827</v>
      </c>
      <c r="R155" s="72">
        <f t="shared" si="15"/>
        <v>1.0569561501061552E-2</v>
      </c>
      <c r="S155" s="62">
        <f t="shared" si="14"/>
        <v>1.8433514073027867E-2</v>
      </c>
    </row>
    <row r="156" spans="1:21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19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29">
        <f t="shared" si="10"/>
        <v>2819</v>
      </c>
      <c r="R156" s="72">
        <f t="shared" si="15"/>
        <v>1.0718599033816426E-2</v>
      </c>
      <c r="S156" s="62">
        <f t="shared" si="14"/>
        <v>1.8633947596412764E-2</v>
      </c>
    </row>
    <row r="157" spans="1:21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19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29">
        <f t="shared" si="10"/>
        <v>2904</v>
      </c>
      <c r="R157" s="72">
        <f t="shared" si="15"/>
        <v>1.0443439224152702E-2</v>
      </c>
      <c r="S157" s="62">
        <f t="shared" si="14"/>
        <v>1.8605957894164454E-2</v>
      </c>
    </row>
    <row r="158" spans="1:21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194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29">
        <f t="shared" si="10"/>
        <v>3445</v>
      </c>
      <c r="R158" s="72">
        <f t="shared" si="15"/>
        <v>1.0319361442887101E-2</v>
      </c>
      <c r="S158" s="62">
        <f t="shared" si="14"/>
        <v>1.8628804312101493E-2</v>
      </c>
    </row>
    <row r="159" spans="1:21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19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29">
        <f t="shared" si="10"/>
        <v>4945</v>
      </c>
      <c r="R159" s="72">
        <f t="shared" si="15"/>
        <v>1.0510144362075693E-2</v>
      </c>
      <c r="S159" s="62">
        <f t="shared" si="14"/>
        <v>1.8716293910733758E-2</v>
      </c>
      <c r="U159" s="146"/>
    </row>
    <row r="160" spans="1:21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194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29">
        <f t="shared" si="10"/>
        <v>61867</v>
      </c>
      <c r="R160" s="72">
        <f t="shared" si="15"/>
        <v>2.2358177406630049E-2</v>
      </c>
      <c r="S160" s="62">
        <f t="shared" si="14"/>
        <v>1.870469085360054E-2</v>
      </c>
      <c r="U160" s="146"/>
    </row>
    <row r="161" spans="1:21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194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29">
        <f t="shared" si="10"/>
        <v>4865</v>
      </c>
      <c r="R161" s="72">
        <f>G161/(C161-E161-F161)</f>
        <v>2.3386482165005454E-2</v>
      </c>
      <c r="S161" s="62">
        <f t="shared" si="14"/>
        <v>1.8685674181233999E-2</v>
      </c>
      <c r="U161" s="146"/>
    </row>
    <row r="162" spans="1:21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194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29">
        <f t="shared" si="10"/>
        <v>6424</v>
      </c>
      <c r="R162" s="72">
        <f t="shared" ref="R162:R205" si="22">G162/(C162-E162-F162)</f>
        <v>2.3173721679024015E-2</v>
      </c>
      <c r="S162" s="62">
        <f t="shared" si="14"/>
        <v>1.8765657743394205E-2</v>
      </c>
      <c r="U162" s="146"/>
    </row>
    <row r="163" spans="1:21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19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29">
        <f t="shared" si="10"/>
        <v>5885</v>
      </c>
      <c r="R163" s="72">
        <f t="shared" si="22"/>
        <v>2.3097212304912348E-2</v>
      </c>
      <c r="S163" s="62">
        <f t="shared" si="14"/>
        <v>1.9182786467416092E-2</v>
      </c>
      <c r="U163" s="146"/>
    </row>
    <row r="164" spans="1:21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194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29">
        <f t="shared" si="10"/>
        <v>5151</v>
      </c>
      <c r="R164" s="72">
        <f t="shared" si="22"/>
        <v>2.3432873699348617E-2</v>
      </c>
      <c r="S164" s="62">
        <f t="shared" si="14"/>
        <v>1.9413643911919992E-2</v>
      </c>
      <c r="U164" s="146"/>
    </row>
    <row r="165" spans="1:21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194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29">
        <f t="shared" si="10"/>
        <v>6571</v>
      </c>
      <c r="R165" s="72">
        <f t="shared" si="22"/>
        <v>2.3457547696083901E-2</v>
      </c>
      <c r="S165" s="62">
        <f t="shared" si="14"/>
        <v>1.9426091744182677E-2</v>
      </c>
      <c r="U165" s="146"/>
    </row>
    <row r="166" spans="1:21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194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29">
        <f t="shared" si="10"/>
        <v>6692</v>
      </c>
      <c r="R166" s="72">
        <f t="shared" si="22"/>
        <v>2.4125147447059483E-2</v>
      </c>
      <c r="S166" s="62">
        <f t="shared" si="14"/>
        <v>1.9572506435063395E-2</v>
      </c>
      <c r="U166" s="146"/>
    </row>
    <row r="167" spans="1:21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19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29">
        <f t="shared" si="10"/>
        <v>6005</v>
      </c>
      <c r="R167" s="72">
        <f t="shared" si="22"/>
        <v>2.3912710246512731E-2</v>
      </c>
      <c r="S167" s="62">
        <f t="shared" si="14"/>
        <v>1.9498443445174679E-2</v>
      </c>
      <c r="U167" s="146"/>
    </row>
    <row r="168" spans="1:21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194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29">
        <f t="shared" si="10"/>
        <v>6148</v>
      </c>
      <c r="R168" s="72">
        <f t="shared" si="22"/>
        <v>2.4050918102962712E-2</v>
      </c>
      <c r="S168" s="62">
        <f t="shared" si="14"/>
        <v>1.9360489392977537E-2</v>
      </c>
      <c r="U168" s="146"/>
    </row>
    <row r="169" spans="1:21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194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29">
        <f t="shared" si="10"/>
        <v>5681</v>
      </c>
      <c r="R169" s="72">
        <f t="shared" si="22"/>
        <v>2.5064129204224645E-2</v>
      </c>
      <c r="S169" s="62">
        <f t="shared" si="14"/>
        <v>1.9436625368573778E-2</v>
      </c>
      <c r="U169" s="146"/>
    </row>
    <row r="170" spans="1:21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194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29">
        <f t="shared" si="10"/>
        <v>5194</v>
      </c>
      <c r="R170" s="72">
        <f t="shared" si="22"/>
        <v>2.5268983341292805E-2</v>
      </c>
      <c r="S170" s="62">
        <f t="shared" si="14"/>
        <v>1.9763633867815378E-2</v>
      </c>
      <c r="U170" s="146"/>
    </row>
    <row r="171" spans="1:21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194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29">
        <f t="shared" si="10"/>
        <v>4926</v>
      </c>
      <c r="R171" s="72">
        <f t="shared" si="22"/>
        <v>2.4697982883403507E-2</v>
      </c>
      <c r="S171" s="62">
        <f t="shared" si="14"/>
        <v>2.0245698988354724E-2</v>
      </c>
      <c r="U171" s="146"/>
    </row>
    <row r="172" spans="1:21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194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29">
        <f t="shared" si="10"/>
        <v>6155</v>
      </c>
      <c r="R172" s="72">
        <f t="shared" si="22"/>
        <v>2.4570156379925431E-2</v>
      </c>
      <c r="S172" s="62">
        <f t="shared" si="14"/>
        <v>2.0306403560165043E-2</v>
      </c>
      <c r="U172" s="146"/>
    </row>
    <row r="173" spans="1:21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194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29">
        <f t="shared" si="10"/>
        <v>5975</v>
      </c>
      <c r="R173" s="72">
        <f t="shared" si="22"/>
        <v>2.4212094287356923E-2</v>
      </c>
      <c r="S173" s="62">
        <f t="shared" si="14"/>
        <v>2.0453253830046529E-2</v>
      </c>
      <c r="U173" s="146"/>
    </row>
    <row r="174" spans="1:21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194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29">
        <f t="shared" si="10"/>
        <v>5619</v>
      </c>
      <c r="R174" s="72">
        <f t="shared" si="22"/>
        <v>2.4276294014308628E-2</v>
      </c>
      <c r="S174" s="62">
        <f t="shared" si="14"/>
        <v>2.0332420828854936E-2</v>
      </c>
      <c r="U174" s="146"/>
    </row>
    <row r="175" spans="1:21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194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29">
        <f t="shared" si="10"/>
        <v>5389</v>
      </c>
      <c r="R175" s="72">
        <f t="shared" si="22"/>
        <v>2.4521248772023833E-2</v>
      </c>
      <c r="S175" s="62">
        <f t="shared" si="14"/>
        <v>2.041186132560192E-2</v>
      </c>
      <c r="U175" s="146"/>
    </row>
    <row r="176" spans="1:21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194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29">
        <f t="shared" si="10"/>
        <v>6413</v>
      </c>
      <c r="R176" s="72">
        <f t="shared" si="22"/>
        <v>2.4408468244084682E-2</v>
      </c>
      <c r="S176" s="62">
        <f t="shared" si="14"/>
        <v>2.0990859784476738E-2</v>
      </c>
      <c r="U176" s="146"/>
    </row>
    <row r="177" spans="1:21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19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29">
        <f t="shared" si="10"/>
        <v>5599</v>
      </c>
      <c r="R177" s="72">
        <f t="shared" si="22"/>
        <v>2.3897014674448207E-2</v>
      </c>
      <c r="S177" s="62">
        <f t="shared" si="14"/>
        <v>2.1029479643419217E-2</v>
      </c>
      <c r="T177" s="143"/>
      <c r="U177" s="146"/>
    </row>
    <row r="178" spans="1:21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19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29">
        <f t="shared" si="10"/>
        <v>5657</v>
      </c>
      <c r="R178" s="72">
        <f t="shared" si="22"/>
        <v>2.300576850872103E-2</v>
      </c>
      <c r="S178" s="62">
        <f t="shared" si="14"/>
        <v>2.1175726927939318E-2</v>
      </c>
      <c r="U178" s="146"/>
    </row>
    <row r="179" spans="1:21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194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29">
        <f t="shared" si="10"/>
        <v>0</v>
      </c>
      <c r="R179" s="72">
        <f t="shared" si="22"/>
        <v>2.1220240530148083E-2</v>
      </c>
      <c r="S179" s="62">
        <f t="shared" si="14"/>
        <v>2.1167944632019604E-2</v>
      </c>
      <c r="U179" s="146"/>
    </row>
    <row r="180" spans="1:21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194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29">
        <f t="shared" si="10"/>
        <v>12762</v>
      </c>
      <c r="R180" s="72">
        <f t="shared" si="22"/>
        <v>2.1902877213340655E-2</v>
      </c>
      <c r="S180" s="62">
        <f t="shared" si="14"/>
        <v>2.1101556341818681E-2</v>
      </c>
      <c r="U180" s="146"/>
    </row>
    <row r="181" spans="1:21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194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1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29">
        <f t="shared" si="10"/>
        <v>6787</v>
      </c>
      <c r="R181" s="72">
        <f t="shared" si="22"/>
        <v>2.2168508985730032E-2</v>
      </c>
      <c r="S181" s="62">
        <f t="shared" si="14"/>
        <v>2.0818016194836492E-2</v>
      </c>
      <c r="T181" s="19"/>
      <c r="U181" s="146"/>
    </row>
    <row r="182" spans="1:21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194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1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29">
        <f t="shared" si="10"/>
        <v>6188</v>
      </c>
      <c r="R182" s="72">
        <f t="shared" si="22"/>
        <v>2.2370333249812076E-2</v>
      </c>
      <c r="S182" s="62">
        <f t="shared" si="14"/>
        <v>2.0703872917003326E-2</v>
      </c>
      <c r="U182" s="146"/>
    </row>
    <row r="183" spans="1:21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194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1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29">
        <f t="shared" si="10"/>
        <v>8181</v>
      </c>
      <c r="R183" s="72">
        <f t="shared" si="22"/>
        <v>2.2571996027805363E-2</v>
      </c>
      <c r="S183" s="62">
        <f t="shared" si="14"/>
        <v>2.0728452248435014E-2</v>
      </c>
      <c r="U183" s="146"/>
    </row>
    <row r="184" spans="1:21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194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1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29">
        <f t="shared" si="10"/>
        <v>7154</v>
      </c>
      <c r="R184" s="72">
        <f t="shared" si="22"/>
        <v>2.2294803981077357E-2</v>
      </c>
      <c r="S184" s="62">
        <f t="shared" si="14"/>
        <v>2.0824819785213396E-2</v>
      </c>
      <c r="U184" s="146"/>
    </row>
    <row r="185" spans="1:21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194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1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29">
        <f t="shared" si="10"/>
        <v>6931</v>
      </c>
      <c r="R185" s="72">
        <f t="shared" si="22"/>
        <v>2.1924810632464334E-2</v>
      </c>
      <c r="S185" s="62">
        <f t="shared" si="14"/>
        <v>2.075724317579445E-2</v>
      </c>
      <c r="U185" s="146"/>
    </row>
    <row r="186" spans="1:21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194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1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29">
        <f t="shared" si="10"/>
        <v>9160</v>
      </c>
      <c r="R186" s="72">
        <f t="shared" si="22"/>
        <v>2.1720787174392336E-2</v>
      </c>
      <c r="S186" s="62">
        <f t="shared" si="14"/>
        <v>2.0744772804843992E-2</v>
      </c>
      <c r="U186" s="146"/>
    </row>
    <row r="187" spans="1:21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194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1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29">
        <f t="shared" si="10"/>
        <v>8760</v>
      </c>
      <c r="R187" s="72">
        <f t="shared" si="22"/>
        <v>2.167520267431779E-2</v>
      </c>
      <c r="S187" s="62">
        <f t="shared" si="14"/>
        <v>2.0832160595130357E-2</v>
      </c>
      <c r="U187" s="146"/>
    </row>
    <row r="188" spans="1:21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194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1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29">
        <f t="shared" si="10"/>
        <v>8751</v>
      </c>
      <c r="R188" s="72">
        <f t="shared" si="22"/>
        <v>2.1747022623633063E-2</v>
      </c>
      <c r="S188" s="62">
        <f t="shared" si="14"/>
        <v>2.0641958771189853E-2</v>
      </c>
      <c r="U188" s="146"/>
    </row>
    <row r="189" spans="1:21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194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1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29">
        <f t="shared" si="10"/>
        <v>8256</v>
      </c>
      <c r="R189" s="72">
        <f t="shared" si="22"/>
        <v>2.2519857278611513E-2</v>
      </c>
      <c r="S189" s="62">
        <f t="shared" si="14"/>
        <v>2.0589316446390081E-2</v>
      </c>
      <c r="U189" s="146"/>
    </row>
    <row r="190" spans="1:21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194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1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29">
        <f t="shared" si="10"/>
        <v>9202</v>
      </c>
      <c r="R190" s="72">
        <f t="shared" si="22"/>
        <v>2.4242750986153416E-2</v>
      </c>
      <c r="S190" s="62">
        <f t="shared" si="14"/>
        <v>2.074970236082679E-2</v>
      </c>
      <c r="U190" s="146"/>
    </row>
    <row r="191" spans="1:21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194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1"/>
        <v>1273.516799999983</v>
      </c>
      <c r="K191" s="7">
        <f t="shared" ref="K191:K202" si="32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29">
        <f t="shared" si="10"/>
        <v>15900</v>
      </c>
      <c r="R191" s="72">
        <f t="shared" si="22"/>
        <v>2.5377773214735722E-2</v>
      </c>
      <c r="S191" s="62">
        <f t="shared" si="14"/>
        <v>2.0804585288200401E-2</v>
      </c>
      <c r="U191" s="146"/>
    </row>
    <row r="192" spans="1:21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194">
        <v>390098</v>
      </c>
      <c r="G192" s="4">
        <v>2829</v>
      </c>
      <c r="H192" s="4">
        <v>27171</v>
      </c>
      <c r="I192" s="4">
        <f t="shared" ref="I192:I202" si="33">I191+H192</f>
        <v>1485790</v>
      </c>
      <c r="J192" s="7">
        <f t="shared" si="31"/>
        <v>1293.7232000000076</v>
      </c>
      <c r="K192" s="7">
        <f t="shared" si="32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29">
        <f t="shared" si="10"/>
        <v>7608</v>
      </c>
      <c r="R192" s="72">
        <f t="shared" si="22"/>
        <v>2.5363553228496118E-2</v>
      </c>
      <c r="S192" s="62">
        <f t="shared" si="14"/>
        <v>2.0802548541557272E-2</v>
      </c>
      <c r="U192" s="146"/>
    </row>
    <row r="193" spans="1:21" x14ac:dyDescent="0.25">
      <c r="A193" s="75">
        <v>44084</v>
      </c>
      <c r="B193" s="4">
        <v>11905</v>
      </c>
      <c r="C193" s="7">
        <f t="shared" ref="C193:C207" si="34">C192+B193</f>
        <v>524198</v>
      </c>
      <c r="D193" s="4">
        <f>55+195</f>
        <v>250</v>
      </c>
      <c r="E193" s="7">
        <f t="shared" ref="E193:E206" si="35">E192+D193</f>
        <v>10907</v>
      </c>
      <c r="F193" s="194">
        <v>400121</v>
      </c>
      <c r="G193" s="4">
        <v>2880</v>
      </c>
      <c r="H193" s="4">
        <v>28057</v>
      </c>
      <c r="I193" s="4">
        <f t="shared" si="33"/>
        <v>1513847</v>
      </c>
      <c r="J193" s="7">
        <f t="shared" si="31"/>
        <v>1315.7488000000594</v>
      </c>
      <c r="K193" s="7">
        <f t="shared" si="32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29">
        <f t="shared" si="10"/>
        <v>10023</v>
      </c>
      <c r="R193" s="72">
        <f t="shared" si="22"/>
        <v>2.5448440399399135E-2</v>
      </c>
      <c r="S193" s="62">
        <f t="shared" si="14"/>
        <v>2.0807023300355974E-2</v>
      </c>
      <c r="U193" s="146"/>
    </row>
    <row r="194" spans="1:21" s="95" customFormat="1" x14ac:dyDescent="0.25">
      <c r="A194" s="87">
        <v>44085</v>
      </c>
      <c r="B194" s="1">
        <v>11507</v>
      </c>
      <c r="C194" s="21">
        <f t="shared" si="34"/>
        <v>535705</v>
      </c>
      <c r="D194" s="1">
        <f>87+154</f>
        <v>241</v>
      </c>
      <c r="E194" s="21">
        <f t="shared" si="35"/>
        <v>11148</v>
      </c>
      <c r="F194" s="194">
        <v>409771</v>
      </c>
      <c r="G194" s="1">
        <v>3093</v>
      </c>
      <c r="H194" s="4">
        <v>26254</v>
      </c>
      <c r="I194" s="4">
        <f t="shared" si="33"/>
        <v>1540101</v>
      </c>
      <c r="J194" s="7">
        <f t="shared" ref="J194:J202" si="36">L194-K194</f>
        <v>1338.017600000021</v>
      </c>
      <c r="K194" s="7">
        <f t="shared" si="32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29">
        <f t="shared" si="10"/>
        <v>9650</v>
      </c>
      <c r="R194" s="72">
        <f t="shared" si="22"/>
        <v>2.6945794783335947E-2</v>
      </c>
      <c r="S194" s="62">
        <f t="shared" si="14"/>
        <v>2.0809960705985571E-2</v>
      </c>
      <c r="U194" s="146"/>
    </row>
    <row r="195" spans="1:21" x14ac:dyDescent="0.25">
      <c r="A195" s="75">
        <v>44086</v>
      </c>
      <c r="B195" s="1">
        <v>10776</v>
      </c>
      <c r="C195" s="21">
        <f t="shared" si="34"/>
        <v>546481</v>
      </c>
      <c r="D195" s="1">
        <f>57+58</f>
        <v>115</v>
      </c>
      <c r="E195" s="21">
        <f t="shared" si="35"/>
        <v>11263</v>
      </c>
      <c r="F195" s="194">
        <v>419513</v>
      </c>
      <c r="G195" s="1">
        <v>2962</v>
      </c>
      <c r="H195" s="4">
        <v>23140</v>
      </c>
      <c r="I195" s="4">
        <f t="shared" si="33"/>
        <v>1563241</v>
      </c>
      <c r="J195" s="7">
        <f t="shared" si="36"/>
        <v>1355.5903999999864</v>
      </c>
      <c r="K195" s="7">
        <f t="shared" si="32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29">
        <f t="shared" si="10"/>
        <v>9742</v>
      </c>
      <c r="R195" s="72">
        <f t="shared" si="22"/>
        <v>2.5599585151894904E-2</v>
      </c>
      <c r="S195" s="62">
        <f t="shared" si="14"/>
        <v>2.0610048656769402E-2</v>
      </c>
      <c r="U195" s="146"/>
    </row>
    <row r="196" spans="1:21" ht="16.5" x14ac:dyDescent="0.25">
      <c r="A196" s="75">
        <v>44087</v>
      </c>
      <c r="B196" s="1">
        <v>9056</v>
      </c>
      <c r="C196" s="137">
        <f t="shared" si="34"/>
        <v>555537</v>
      </c>
      <c r="D196" s="1">
        <f>44+45</f>
        <v>89</v>
      </c>
      <c r="E196" s="21">
        <f t="shared" si="35"/>
        <v>11352</v>
      </c>
      <c r="F196" s="194">
        <v>428953</v>
      </c>
      <c r="G196" s="1">
        <v>2984</v>
      </c>
      <c r="H196" s="4">
        <v>17955</v>
      </c>
      <c r="I196" s="4">
        <f t="shared" si="33"/>
        <v>1581196</v>
      </c>
      <c r="J196" s="7">
        <f t="shared" si="36"/>
        <v>1368.1983999999939</v>
      </c>
      <c r="K196" s="7">
        <f t="shared" si="32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29">
        <f t="shared" si="10"/>
        <v>9440</v>
      </c>
      <c r="R196" s="72">
        <f t="shared" si="22"/>
        <v>2.5895584559844486E-2</v>
      </c>
      <c r="S196" s="62">
        <f t="shared" si="14"/>
        <v>2.0434282505035668E-2</v>
      </c>
      <c r="U196" s="146"/>
    </row>
    <row r="197" spans="1:21" ht="16.5" x14ac:dyDescent="0.25">
      <c r="A197" s="87">
        <v>44088</v>
      </c>
      <c r="B197" s="4">
        <v>9909</v>
      </c>
      <c r="C197" s="137">
        <f t="shared" si="34"/>
        <v>565446</v>
      </c>
      <c r="D197" s="4">
        <f>60+254</f>
        <v>314</v>
      </c>
      <c r="E197" s="7">
        <f t="shared" si="35"/>
        <v>11666</v>
      </c>
      <c r="F197" s="194">
        <v>438883</v>
      </c>
      <c r="G197" s="4">
        <v>2992</v>
      </c>
      <c r="H197" s="4">
        <v>21207</v>
      </c>
      <c r="I197" s="4">
        <f t="shared" si="33"/>
        <v>1602403</v>
      </c>
      <c r="J197" s="7">
        <f t="shared" si="36"/>
        <v>1385.3168000000296</v>
      </c>
      <c r="K197" s="7">
        <f t="shared" si="32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29">
        <f t="shared" si="10"/>
        <v>9930</v>
      </c>
      <c r="R197" s="72">
        <f t="shared" si="22"/>
        <v>2.6040714727103405E-2</v>
      </c>
      <c r="S197" s="62">
        <f t="shared" ref="S197:S210" si="37">E197/C187</f>
        <v>2.525753330937339E-2</v>
      </c>
      <c r="U197" s="146"/>
    </row>
    <row r="198" spans="1:21" ht="16.5" x14ac:dyDescent="0.25">
      <c r="A198" s="75">
        <v>44089</v>
      </c>
      <c r="B198" s="4">
        <v>11892</v>
      </c>
      <c r="C198" s="137">
        <f t="shared" si="34"/>
        <v>577338</v>
      </c>
      <c r="D198" s="4">
        <f>43+142</f>
        <v>185</v>
      </c>
      <c r="E198" s="7">
        <f t="shared" si="35"/>
        <v>11851</v>
      </c>
      <c r="F198" s="194">
        <v>448263</v>
      </c>
      <c r="G198" s="4">
        <v>3049</v>
      </c>
      <c r="H198" s="4">
        <v>25791</v>
      </c>
      <c r="I198" s="4">
        <f t="shared" si="33"/>
        <v>1628194</v>
      </c>
      <c r="J198" s="7">
        <f t="shared" si="36"/>
        <v>1407.344000000041</v>
      </c>
      <c r="K198" s="7">
        <f t="shared" si="32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29">
        <f t="shared" ref="Q198:Q248" si="38">F198-F197</f>
        <v>9380</v>
      </c>
      <c r="R198" s="72">
        <f t="shared" si="22"/>
        <v>2.6010032075342932E-2</v>
      </c>
      <c r="S198" s="62">
        <f t="shared" si="37"/>
        <v>2.5118374925287089E-2</v>
      </c>
      <c r="U198" s="146"/>
    </row>
    <row r="199" spans="1:21" ht="16.5" x14ac:dyDescent="0.25">
      <c r="A199" s="75">
        <v>44090</v>
      </c>
      <c r="B199" s="7">
        <v>11674</v>
      </c>
      <c r="C199" s="137">
        <f t="shared" si="34"/>
        <v>589012</v>
      </c>
      <c r="D199" s="4">
        <f>58+206</f>
        <v>264</v>
      </c>
      <c r="E199" s="7">
        <f t="shared" si="35"/>
        <v>12115</v>
      </c>
      <c r="F199" s="194">
        <v>456347</v>
      </c>
      <c r="G199" s="4">
        <v>3118</v>
      </c>
      <c r="H199" s="4">
        <v>25422</v>
      </c>
      <c r="I199" s="4">
        <f t="shared" si="33"/>
        <v>1653616</v>
      </c>
      <c r="J199" s="7">
        <f t="shared" si="36"/>
        <v>1429.5023999999976</v>
      </c>
      <c r="K199" s="7">
        <f t="shared" si="32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29">
        <f t="shared" si="38"/>
        <v>8084</v>
      </c>
      <c r="R199" s="72">
        <f t="shared" si="22"/>
        <v>2.5864786395686436E-2</v>
      </c>
      <c r="S199" s="62">
        <f t="shared" si="37"/>
        <v>2.530326321241792E-2</v>
      </c>
      <c r="T199" s="146"/>
      <c r="U199" s="146"/>
    </row>
    <row r="200" spans="1:21" ht="16.5" x14ac:dyDescent="0.25">
      <c r="A200" s="75">
        <v>44091</v>
      </c>
      <c r="B200" s="4">
        <v>12701</v>
      </c>
      <c r="C200" s="137">
        <f t="shared" si="34"/>
        <v>601713</v>
      </c>
      <c r="D200" s="4">
        <v>345</v>
      </c>
      <c r="E200" s="7">
        <f t="shared" si="35"/>
        <v>12460</v>
      </c>
      <c r="F200" s="194">
        <v>467286</v>
      </c>
      <c r="G200" s="4">
        <v>3108</v>
      </c>
      <c r="H200" s="4">
        <v>28633</v>
      </c>
      <c r="I200" s="4">
        <f t="shared" si="33"/>
        <v>1682249</v>
      </c>
      <c r="J200" s="7">
        <f t="shared" si="36"/>
        <v>1451.9024000000209</v>
      </c>
      <c r="K200" s="7">
        <f t="shared" si="32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29">
        <f t="shared" si="38"/>
        <v>10939</v>
      </c>
      <c r="R200" s="72">
        <f t="shared" si="22"/>
        <v>2.5482302590044848E-2</v>
      </c>
      <c r="S200" s="62">
        <f t="shared" si="37"/>
        <v>2.5532420641507191E-2</v>
      </c>
      <c r="T200" s="146"/>
      <c r="U200" s="146"/>
    </row>
    <row r="201" spans="1:21" ht="16.5" x14ac:dyDescent="0.25">
      <c r="A201" s="75">
        <v>44092</v>
      </c>
      <c r="B201" s="4">
        <v>11945</v>
      </c>
      <c r="C201" s="137">
        <f t="shared" si="34"/>
        <v>613658</v>
      </c>
      <c r="D201" s="4">
        <f>31+166</f>
        <v>197</v>
      </c>
      <c r="E201" s="7">
        <f t="shared" si="35"/>
        <v>12657</v>
      </c>
      <c r="F201" s="194">
        <v>478077</v>
      </c>
      <c r="G201" s="4">
        <v>3225</v>
      </c>
      <c r="H201" s="4">
        <v>25698</v>
      </c>
      <c r="I201" s="4">
        <f t="shared" si="33"/>
        <v>1707947</v>
      </c>
      <c r="J201" s="7">
        <f t="shared" si="36"/>
        <v>1474.3456000000006</v>
      </c>
      <c r="K201" s="7">
        <f t="shared" si="32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29">
        <f t="shared" si="38"/>
        <v>10791</v>
      </c>
      <c r="R201" s="72">
        <f t="shared" si="22"/>
        <v>2.6235722885685465E-2</v>
      </c>
      <c r="S201" s="62">
        <f t="shared" si="37"/>
        <v>2.5312278765043977E-2</v>
      </c>
      <c r="T201" s="146"/>
      <c r="U201" s="146"/>
    </row>
    <row r="202" spans="1:21" x14ac:dyDescent="0.25">
      <c r="A202" s="75">
        <v>44093</v>
      </c>
      <c r="B202" s="4">
        <v>9276</v>
      </c>
      <c r="C202" s="7">
        <f t="shared" si="34"/>
        <v>622934</v>
      </c>
      <c r="D202" s="4">
        <f>49+94</f>
        <v>143</v>
      </c>
      <c r="E202" s="7">
        <f t="shared" si="35"/>
        <v>12800</v>
      </c>
      <c r="F202" s="194">
        <v>488231</v>
      </c>
      <c r="G202" s="4">
        <v>3213</v>
      </c>
      <c r="H202" s="4">
        <v>21093</v>
      </c>
      <c r="I202" s="4">
        <f t="shared" si="33"/>
        <v>1729040</v>
      </c>
      <c r="J202" s="7">
        <f t="shared" si="36"/>
        <v>1492.0336000000825</v>
      </c>
      <c r="K202" s="7">
        <f t="shared" si="32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29">
        <f t="shared" si="38"/>
        <v>10154</v>
      </c>
      <c r="R202" s="155">
        <f t="shared" si="22"/>
        <v>2.6357021566327327E-2</v>
      </c>
      <c r="S202" s="156">
        <f t="shared" si="37"/>
        <v>2.4985701541891066E-2</v>
      </c>
      <c r="T202" s="146"/>
      <c r="U202" s="146"/>
    </row>
    <row r="203" spans="1:21" x14ac:dyDescent="0.25">
      <c r="A203" s="75">
        <v>44094</v>
      </c>
      <c r="B203" s="4">
        <v>8431</v>
      </c>
      <c r="C203" s="7">
        <f t="shared" si="34"/>
        <v>631365</v>
      </c>
      <c r="D203" s="4">
        <f>110+143</f>
        <v>253</v>
      </c>
      <c r="E203" s="7">
        <f t="shared" si="35"/>
        <v>13053</v>
      </c>
      <c r="F203" s="194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3">
        <f t="shared" ref="L203:L213" si="39">K203+J203</f>
        <v>941216</v>
      </c>
      <c r="M203" s="167">
        <v>1262</v>
      </c>
      <c r="N203" s="167">
        <v>134820</v>
      </c>
      <c r="O203" s="167">
        <v>412203</v>
      </c>
      <c r="P203" s="167">
        <f>C203-O203-N203-M203</f>
        <v>83080</v>
      </c>
      <c r="Q203" s="29">
        <f t="shared" si="38"/>
        <v>10148</v>
      </c>
      <c r="R203" s="185">
        <f t="shared" si="22"/>
        <v>2.7190181184494677E-2</v>
      </c>
      <c r="S203" s="186">
        <f t="shared" si="37"/>
        <v>2.4900896226235127E-2</v>
      </c>
      <c r="T203" s="146"/>
      <c r="U203" s="146"/>
    </row>
    <row r="204" spans="1:21" x14ac:dyDescent="0.25">
      <c r="A204" s="75">
        <v>44095</v>
      </c>
      <c r="B204" s="4">
        <v>8782</v>
      </c>
      <c r="C204" s="7">
        <f t="shared" si="34"/>
        <v>640147</v>
      </c>
      <c r="D204" s="4">
        <v>427</v>
      </c>
      <c r="E204" s="7">
        <f t="shared" si="35"/>
        <v>13480</v>
      </c>
      <c r="F204" s="194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3">
        <f t="shared" si="39"/>
        <v>950485</v>
      </c>
      <c r="M204" s="187">
        <v>6401</v>
      </c>
      <c r="N204" s="187">
        <v>138272</v>
      </c>
      <c r="O204" s="204">
        <v>417376</v>
      </c>
      <c r="P204" s="167">
        <f t="shared" ref="P204:P231" si="41">C204-O204-N204-M204</f>
        <v>78098</v>
      </c>
      <c r="Q204" s="29">
        <f t="shared" si="38"/>
        <v>10184</v>
      </c>
      <c r="R204" s="185">
        <f t="shared" si="22"/>
        <v>2.8678114204429995E-2</v>
      </c>
      <c r="S204" s="186">
        <f t="shared" si="37"/>
        <v>2.5163102827115671E-2</v>
      </c>
      <c r="T204" s="146"/>
      <c r="U204" s="146"/>
    </row>
    <row r="205" spans="1:21" x14ac:dyDescent="0.25">
      <c r="A205" s="75">
        <v>44096</v>
      </c>
      <c r="B205" s="4">
        <v>12027</v>
      </c>
      <c r="C205" s="7">
        <f t="shared" si="34"/>
        <v>652174</v>
      </c>
      <c r="D205" s="4">
        <v>469</v>
      </c>
      <c r="E205" s="7">
        <f t="shared" si="35"/>
        <v>13949</v>
      </c>
      <c r="F205" s="194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3">
        <f t="shared" si="39"/>
        <v>963224</v>
      </c>
      <c r="M205" s="188">
        <v>6521</v>
      </c>
      <c r="N205" s="188">
        <v>140870</v>
      </c>
      <c r="O205" s="188">
        <v>425218</v>
      </c>
      <c r="P205" s="167">
        <f t="shared" si="41"/>
        <v>79565</v>
      </c>
      <c r="Q205" s="29">
        <f t="shared" si="38"/>
        <v>8665</v>
      </c>
      <c r="R205" s="185">
        <f t="shared" si="22"/>
        <v>2.7785812871393506E-2</v>
      </c>
      <c r="S205" s="186">
        <f t="shared" si="37"/>
        <v>2.5525132621262221E-2</v>
      </c>
      <c r="T205" s="146"/>
      <c r="U205" s="146"/>
    </row>
    <row r="206" spans="1:21" x14ac:dyDescent="0.25">
      <c r="A206" s="75">
        <v>44097</v>
      </c>
      <c r="B206" s="4">
        <v>12625</v>
      </c>
      <c r="C206" s="7">
        <f t="shared" si="34"/>
        <v>664799</v>
      </c>
      <c r="D206" s="4">
        <v>423</v>
      </c>
      <c r="E206" s="7">
        <f t="shared" si="35"/>
        <v>14372</v>
      </c>
      <c r="F206" s="194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3">
        <f t="shared" si="39"/>
        <v>976244</v>
      </c>
      <c r="M206" s="188">
        <v>6647</v>
      </c>
      <c r="N206" s="188">
        <v>143597</v>
      </c>
      <c r="O206" s="188">
        <v>433450</v>
      </c>
      <c r="P206" s="167">
        <f t="shared" si="41"/>
        <v>81105</v>
      </c>
      <c r="Q206" s="29">
        <f t="shared" si="38"/>
        <v>8258</v>
      </c>
      <c r="R206" s="185">
        <f t="shared" ref="R206:R211" si="42">G206/(C206-E206-F206)</f>
        <v>2.8101263796511955E-2</v>
      </c>
      <c r="S206" s="186">
        <f t="shared" si="37"/>
        <v>2.5870464073500056E-2</v>
      </c>
      <c r="T206" s="146"/>
      <c r="U206" s="146"/>
    </row>
    <row r="207" spans="1:21" x14ac:dyDescent="0.25">
      <c r="A207" s="75">
        <v>44098</v>
      </c>
      <c r="B207" s="150">
        <v>13467</v>
      </c>
      <c r="C207" s="151">
        <f t="shared" si="34"/>
        <v>678266</v>
      </c>
      <c r="D207" s="4">
        <v>391</v>
      </c>
      <c r="E207" s="7">
        <f t="shared" ref="E207:E230" si="43">E206+D207</f>
        <v>14763</v>
      </c>
      <c r="F207" s="194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88">
        <v>6740</v>
      </c>
      <c r="N207" s="188">
        <v>143045</v>
      </c>
      <c r="O207" s="188">
        <v>449054</v>
      </c>
      <c r="P207" s="167">
        <f t="shared" si="41"/>
        <v>79427</v>
      </c>
      <c r="Q207" s="29">
        <f t="shared" si="38"/>
        <v>11103</v>
      </c>
      <c r="R207" s="185">
        <f t="shared" si="42"/>
        <v>2.7790472288321225E-2</v>
      </c>
      <c r="S207" s="186">
        <f t="shared" si="37"/>
        <v>2.6108593924088243E-2</v>
      </c>
      <c r="T207" s="146"/>
      <c r="U207" s="146"/>
    </row>
    <row r="208" spans="1:21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194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88">
        <v>6798</v>
      </c>
      <c r="N208" s="188">
        <v>145075</v>
      </c>
      <c r="O208" s="188">
        <v>458440</v>
      </c>
      <c r="P208" s="167">
        <f t="shared" si="41"/>
        <v>80922</v>
      </c>
      <c r="Q208" s="29">
        <f t="shared" si="38"/>
        <v>10335</v>
      </c>
      <c r="R208" s="185">
        <f t="shared" si="42"/>
        <v>2.7845336390252971E-2</v>
      </c>
      <c r="S208" s="186">
        <f t="shared" si="37"/>
        <v>2.633639220006305E-2</v>
      </c>
      <c r="T208" s="146"/>
      <c r="U208" s="146"/>
    </row>
    <row r="209" spans="1:21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194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88">
        <v>6835</v>
      </c>
      <c r="N209" s="188">
        <v>146416</v>
      </c>
      <c r="O209" s="188">
        <v>464913</v>
      </c>
      <c r="P209" s="167">
        <f t="shared" si="41"/>
        <v>84320</v>
      </c>
      <c r="Q209" s="29">
        <f t="shared" si="38"/>
        <v>9565</v>
      </c>
      <c r="R209" s="185">
        <f t="shared" si="42"/>
        <v>2.7849110407579741E-2</v>
      </c>
      <c r="S209" s="186">
        <f t="shared" si="37"/>
        <v>2.6386559187249158E-2</v>
      </c>
      <c r="T209" s="146"/>
      <c r="U209" s="146"/>
    </row>
    <row r="210" spans="1:21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194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88">
        <v>6874</v>
      </c>
      <c r="N210" s="188">
        <v>147538</v>
      </c>
      <c r="O210" s="188">
        <v>469799</v>
      </c>
      <c r="P210" s="167">
        <f t="shared" si="41"/>
        <v>87114</v>
      </c>
      <c r="Q210" s="29">
        <f t="shared" si="38"/>
        <v>9446</v>
      </c>
      <c r="R210" s="185">
        <f t="shared" si="42"/>
        <v>2.779963283503803E-2</v>
      </c>
      <c r="S210" s="186">
        <f t="shared" si="37"/>
        <v>2.6171945761517535E-2</v>
      </c>
      <c r="T210" s="146"/>
      <c r="U210" s="146"/>
    </row>
    <row r="211" spans="1:21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194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88">
        <v>6984</v>
      </c>
      <c r="N211" s="188">
        <v>149538</v>
      </c>
      <c r="O211" s="188">
        <v>478119</v>
      </c>
      <c r="P211" s="167">
        <f t="shared" si="41"/>
        <v>88491</v>
      </c>
      <c r="Q211" s="29">
        <f t="shared" si="38"/>
        <v>10780</v>
      </c>
      <c r="R211" s="185">
        <f t="shared" si="42"/>
        <v>2.8226301571709234E-2</v>
      </c>
      <c r="S211" s="186">
        <f>E211/C201</f>
        <v>2.6257296409400676E-2</v>
      </c>
      <c r="T211" s="146"/>
      <c r="U211" s="146"/>
    </row>
    <row r="212" spans="1:21" x14ac:dyDescent="0.25">
      <c r="A212" s="75">
        <v>44103</v>
      </c>
      <c r="B212" s="152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194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88">
        <v>7083</v>
      </c>
      <c r="N212" s="188">
        <v>151787</v>
      </c>
      <c r="O212" s="188">
        <v>487971</v>
      </c>
      <c r="P212" s="167">
        <f t="shared" si="41"/>
        <v>89768</v>
      </c>
      <c r="Q212" s="29">
        <f t="shared" si="38"/>
        <v>9142</v>
      </c>
      <c r="R212" s="185">
        <f t="shared" ref="R212:R220" si="45">G212/(C212-E212-F212)</f>
        <v>2.8070384552348882E-2</v>
      </c>
      <c r="S212" s="186">
        <f>E212/C202</f>
        <v>2.6516452786330493E-2</v>
      </c>
      <c r="U212" s="146"/>
    </row>
    <row r="213" spans="1:21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194">
        <v>594645</v>
      </c>
      <c r="G213" s="4">
        <v>3792</v>
      </c>
      <c r="H213" s="4">
        <v>26524</v>
      </c>
      <c r="I213" s="4">
        <f t="shared" si="40"/>
        <v>1976313</v>
      </c>
      <c r="J213" s="153">
        <v>2013</v>
      </c>
      <c r="K213" s="9">
        <v>1055774</v>
      </c>
      <c r="L213" s="182">
        <f t="shared" si="39"/>
        <v>1057787</v>
      </c>
      <c r="M213" s="188">
        <v>7162</v>
      </c>
      <c r="N213" s="188">
        <v>153949</v>
      </c>
      <c r="O213" s="188">
        <v>498519</v>
      </c>
      <c r="P213" s="167">
        <f t="shared" si="41"/>
        <v>91371</v>
      </c>
      <c r="Q213" s="29">
        <f t="shared" si="38"/>
        <v>8788</v>
      </c>
      <c r="R213" s="185">
        <f t="shared" si="45"/>
        <v>2.7198393343853107E-2</v>
      </c>
      <c r="S213" s="186">
        <f>E213/C203</f>
        <v>2.682442010564412E-2</v>
      </c>
      <c r="U213" s="146"/>
    </row>
    <row r="214" spans="1:21" x14ac:dyDescent="0.25">
      <c r="A214" s="75">
        <v>44105</v>
      </c>
      <c r="B214" s="4">
        <v>14001</v>
      </c>
      <c r="C214" s="7">
        <f t="shared" si="44"/>
        <v>765002</v>
      </c>
      <c r="D214" s="149">
        <v>3352</v>
      </c>
      <c r="E214" s="7">
        <f t="shared" si="43"/>
        <v>20288</v>
      </c>
      <c r="F214" s="194">
        <v>603140</v>
      </c>
      <c r="G214" s="169">
        <v>3799</v>
      </c>
      <c r="H214" s="4">
        <v>26662</v>
      </c>
      <c r="I214" s="4">
        <f t="shared" si="40"/>
        <v>2002975</v>
      </c>
      <c r="J214" s="153">
        <v>1482</v>
      </c>
      <c r="K214" s="9">
        <v>1068705</v>
      </c>
      <c r="L214" s="182">
        <f t="shared" ref="L214:L225" si="46">K214+J214</f>
        <v>1070187</v>
      </c>
      <c r="M214" s="188">
        <v>7226</v>
      </c>
      <c r="N214" s="188">
        <v>155848</v>
      </c>
      <c r="O214" s="188">
        <v>508945</v>
      </c>
      <c r="P214" s="167">
        <f t="shared" si="41"/>
        <v>92983</v>
      </c>
      <c r="Q214" s="29">
        <f t="shared" si="38"/>
        <v>8495</v>
      </c>
      <c r="R214" s="185">
        <f t="shared" si="45"/>
        <v>2.6834023196349612E-2</v>
      </c>
      <c r="S214" s="186">
        <f>E214/C204</f>
        <v>3.1692720578242184E-2</v>
      </c>
      <c r="U214" s="146"/>
    </row>
    <row r="215" spans="1:21" x14ac:dyDescent="0.25">
      <c r="A215" s="75">
        <v>44106</v>
      </c>
      <c r="B215" s="150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194">
        <v>614515</v>
      </c>
      <c r="G215" s="169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6"/>
        <v>1084221</v>
      </c>
      <c r="M215" s="188">
        <v>7323</v>
      </c>
      <c r="N215" s="188">
        <v>158001</v>
      </c>
      <c r="O215" s="188">
        <v>520163</v>
      </c>
      <c r="P215" s="167">
        <f t="shared" si="41"/>
        <v>94202</v>
      </c>
      <c r="Q215" s="29">
        <f t="shared" si="38"/>
        <v>11375</v>
      </c>
      <c r="R215" s="185">
        <f t="shared" si="45"/>
        <v>2.6477240501601221E-2</v>
      </c>
      <c r="S215" s="62">
        <f t="shared" ref="S215:S232" si="47">E215/C195</f>
        <v>3.7690239916849805E-2</v>
      </c>
      <c r="U215" s="146"/>
    </row>
    <row r="216" spans="1:21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194">
        <v>626114</v>
      </c>
      <c r="G216" s="169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3">
        <f t="shared" si="46"/>
        <v>1097194</v>
      </c>
      <c r="M216" s="188">
        <v>7387</v>
      </c>
      <c r="N216" s="188">
        <v>159347</v>
      </c>
      <c r="O216" s="188">
        <v>527803</v>
      </c>
      <c r="P216" s="167">
        <f t="shared" si="41"/>
        <v>96281</v>
      </c>
      <c r="Q216" s="29">
        <f t="shared" si="38"/>
        <v>11599</v>
      </c>
      <c r="R216" s="185">
        <f t="shared" si="45"/>
        <v>2.6543999110567568E-2</v>
      </c>
      <c r="S216" s="62">
        <f t="shared" si="47"/>
        <v>3.7426850056791895E-2</v>
      </c>
      <c r="U216" s="146"/>
    </row>
    <row r="217" spans="1:21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194">
        <v>636672</v>
      </c>
      <c r="G217" s="169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6"/>
        <v>1104572</v>
      </c>
      <c r="M217" s="188">
        <v>7425</v>
      </c>
      <c r="N217" s="188">
        <v>160401</v>
      </c>
      <c r="O217" s="188">
        <v>533573</v>
      </c>
      <c r="P217" s="167">
        <f t="shared" si="41"/>
        <v>97087</v>
      </c>
      <c r="Q217" s="29">
        <f t="shared" si="38"/>
        <v>10558</v>
      </c>
      <c r="R217" s="185">
        <f t="shared" si="45"/>
        <v>2.8053977272727272E-2</v>
      </c>
      <c r="S217" s="62">
        <f t="shared" si="47"/>
        <v>3.7163584144197674E-2</v>
      </c>
      <c r="U217" s="146"/>
    </row>
    <row r="218" spans="1:21" x14ac:dyDescent="0.25">
      <c r="A218" s="75">
        <v>44109</v>
      </c>
      <c r="B218" s="161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194">
        <v>649017</v>
      </c>
      <c r="G218" s="169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6"/>
        <v>1114977</v>
      </c>
      <c r="M218" s="188">
        <v>7503</v>
      </c>
      <c r="N218" s="188">
        <v>162682</v>
      </c>
      <c r="O218" s="188">
        <v>544916</v>
      </c>
      <c r="P218" s="167">
        <f t="shared" si="41"/>
        <v>94627</v>
      </c>
      <c r="Q218" s="29">
        <f t="shared" si="38"/>
        <v>12345</v>
      </c>
      <c r="R218" s="185">
        <f t="shared" si="45"/>
        <v>2.856814558407423E-2</v>
      </c>
      <c r="S218" s="62">
        <f t="shared" si="47"/>
        <v>3.7179260675722019E-2</v>
      </c>
      <c r="U218" s="146"/>
    </row>
    <row r="219" spans="1:21" x14ac:dyDescent="0.25">
      <c r="A219" s="75">
        <v>44110</v>
      </c>
      <c r="B219" s="161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194">
        <v>660272</v>
      </c>
      <c r="G219" s="169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6"/>
        <v>1128945</v>
      </c>
      <c r="M219" s="188">
        <v>7581</v>
      </c>
      <c r="N219" s="188">
        <v>165737</v>
      </c>
      <c r="O219" s="188">
        <v>556132</v>
      </c>
      <c r="P219" s="167">
        <f t="shared" si="41"/>
        <v>95018</v>
      </c>
      <c r="Q219" s="29">
        <f t="shared" si="38"/>
        <v>11255</v>
      </c>
      <c r="R219" s="185">
        <f t="shared" si="45"/>
        <v>2.8144578990250892E-2</v>
      </c>
      <c r="S219" s="62">
        <f t="shared" si="47"/>
        <v>3.7051876702002676E-2</v>
      </c>
      <c r="U219" s="146"/>
    </row>
    <row r="220" spans="1:21" x14ac:dyDescent="0.25">
      <c r="A220" s="75">
        <v>44111</v>
      </c>
      <c r="B220" s="161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194">
        <v>670725</v>
      </c>
      <c r="G220" s="169">
        <v>3997</v>
      </c>
      <c r="H220" s="162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6"/>
        <v>1144203</v>
      </c>
      <c r="M220" s="188">
        <v>7669</v>
      </c>
      <c r="N220" s="188">
        <v>168593</v>
      </c>
      <c r="O220" s="188">
        <v>568246</v>
      </c>
      <c r="P220" s="167">
        <f t="shared" si="41"/>
        <v>96407</v>
      </c>
      <c r="Q220" s="29">
        <f t="shared" si="38"/>
        <v>10453</v>
      </c>
      <c r="R220" s="185">
        <f t="shared" si="45"/>
        <v>2.7013145000506878E-2</v>
      </c>
      <c r="S220" s="62">
        <f t="shared" si="47"/>
        <v>3.6936213776335228E-2</v>
      </c>
      <c r="U220" s="146"/>
    </row>
    <row r="221" spans="1:21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194">
        <v>684844</v>
      </c>
      <c r="G221" s="169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6"/>
        <v>1157212</v>
      </c>
      <c r="M221" s="188">
        <v>7761</v>
      </c>
      <c r="N221" s="188">
        <v>171322</v>
      </c>
      <c r="O221" s="188">
        <v>578517</v>
      </c>
      <c r="P221" s="167">
        <f t="shared" si="41"/>
        <v>98769</v>
      </c>
      <c r="Q221" s="29">
        <f t="shared" si="38"/>
        <v>14119</v>
      </c>
      <c r="R221" s="185">
        <f t="shared" ref="R221:R227" si="48">G221/(C221-E221-F221)</f>
        <v>2.7167960219063939E-2</v>
      </c>
      <c r="S221" s="62">
        <f t="shared" si="47"/>
        <v>3.7007584028889054E-2</v>
      </c>
      <c r="U221" s="146"/>
    </row>
    <row r="222" spans="1:21" x14ac:dyDescent="0.25">
      <c r="A222" s="163">
        <v>44113</v>
      </c>
      <c r="B222" s="164">
        <v>15099</v>
      </c>
      <c r="C222" s="16">
        <f t="shared" si="44"/>
        <v>871468</v>
      </c>
      <c r="D222" s="165">
        <v>514</v>
      </c>
      <c r="E222" s="66">
        <f t="shared" si="43"/>
        <v>23224</v>
      </c>
      <c r="F222" s="194">
        <v>697141</v>
      </c>
      <c r="G222" s="169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3">
        <f t="shared" si="46"/>
        <v>1173663</v>
      </c>
      <c r="M222" s="188">
        <v>7817</v>
      </c>
      <c r="N222" s="188">
        <v>174267</v>
      </c>
      <c r="O222" s="188">
        <v>588788</v>
      </c>
      <c r="P222" s="167">
        <f t="shared" si="41"/>
        <v>100596</v>
      </c>
      <c r="Q222" s="29">
        <f t="shared" si="38"/>
        <v>12297</v>
      </c>
      <c r="R222" s="185">
        <f t="shared" si="48"/>
        <v>2.7080865369979418E-2</v>
      </c>
      <c r="S222" s="62">
        <f t="shared" si="47"/>
        <v>3.7281638183178312E-2</v>
      </c>
      <c r="U222" s="146"/>
    </row>
    <row r="223" spans="1:21" x14ac:dyDescent="0.25">
      <c r="A223" s="166">
        <v>44114</v>
      </c>
      <c r="B223" s="167">
        <v>12414</v>
      </c>
      <c r="C223" s="16">
        <f t="shared" si="44"/>
        <v>883882</v>
      </c>
      <c r="D223" s="167">
        <v>357</v>
      </c>
      <c r="E223" s="168">
        <f t="shared" si="43"/>
        <v>23581</v>
      </c>
      <c r="F223" s="194">
        <v>709464</v>
      </c>
      <c r="G223" s="169">
        <v>4200</v>
      </c>
      <c r="H223" s="167">
        <v>19871</v>
      </c>
      <c r="I223" s="167">
        <f t="shared" si="40"/>
        <v>2211321</v>
      </c>
      <c r="J223" s="168">
        <v>1566</v>
      </c>
      <c r="K223" s="168">
        <v>1182752</v>
      </c>
      <c r="L223" s="184">
        <f t="shared" si="46"/>
        <v>1184318</v>
      </c>
      <c r="M223" s="188">
        <v>7886</v>
      </c>
      <c r="N223" s="188">
        <v>176230</v>
      </c>
      <c r="O223" s="188">
        <v>594738</v>
      </c>
      <c r="P223" s="167">
        <f t="shared" si="41"/>
        <v>105028</v>
      </c>
      <c r="Q223" s="29">
        <f t="shared" si="38"/>
        <v>12323</v>
      </c>
      <c r="R223" s="185">
        <f t="shared" si="48"/>
        <v>2.7844626981443545E-2</v>
      </c>
      <c r="S223" s="62">
        <f t="shared" si="47"/>
        <v>3.7349235386820619E-2</v>
      </c>
      <c r="U223" s="146"/>
    </row>
    <row r="224" spans="1:21" x14ac:dyDescent="0.25">
      <c r="A224" s="191">
        <v>44115</v>
      </c>
      <c r="B224" s="192">
        <v>10324</v>
      </c>
      <c r="C224" s="199">
        <f t="shared" si="44"/>
        <v>894206</v>
      </c>
      <c r="D224" s="192">
        <v>287</v>
      </c>
      <c r="E224" s="193">
        <f t="shared" si="43"/>
        <v>23868</v>
      </c>
      <c r="F224" s="194">
        <v>721380</v>
      </c>
      <c r="G224" s="195">
        <v>4237</v>
      </c>
      <c r="H224" s="192">
        <v>14237</v>
      </c>
      <c r="I224" s="199">
        <v>2225558</v>
      </c>
      <c r="J224" s="193">
        <v>1567</v>
      </c>
      <c r="K224" s="193">
        <v>1189378</v>
      </c>
      <c r="L224" s="200">
        <f t="shared" si="46"/>
        <v>1190945</v>
      </c>
      <c r="M224" s="196">
        <v>7932</v>
      </c>
      <c r="N224" s="196">
        <v>177557</v>
      </c>
      <c r="O224" s="196">
        <v>599352</v>
      </c>
      <c r="P224" s="192">
        <f t="shared" si="41"/>
        <v>109365</v>
      </c>
      <c r="Q224" s="29">
        <f t="shared" si="38"/>
        <v>11916</v>
      </c>
      <c r="R224" s="197">
        <f t="shared" si="48"/>
        <v>2.8444259455685496E-2</v>
      </c>
      <c r="S224" s="156">
        <f t="shared" si="47"/>
        <v>3.7285186058827115E-2</v>
      </c>
      <c r="U224" s="146"/>
    </row>
    <row r="225" spans="1:21" x14ac:dyDescent="0.25">
      <c r="A225" s="158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198">
        <v>732582</v>
      </c>
      <c r="G225" s="16">
        <v>4287</v>
      </c>
      <c r="H225" s="4">
        <v>13956</v>
      </c>
      <c r="I225" s="16">
        <f t="shared" ref="I225:I231" si="49">I224+H225</f>
        <v>2239514</v>
      </c>
      <c r="J225" s="7">
        <v>1567</v>
      </c>
      <c r="K225" s="7">
        <v>1196534</v>
      </c>
      <c r="L225" s="12">
        <f t="shared" si="46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29">
        <f t="shared" si="38"/>
        <v>11202</v>
      </c>
      <c r="R225" s="72">
        <f t="shared" si="48"/>
        <v>2.9170806058709055E-2</v>
      </c>
      <c r="S225" s="62">
        <f t="shared" si="47"/>
        <v>3.7085195055307323E-2</v>
      </c>
      <c r="U225" s="146"/>
    </row>
    <row r="226" spans="1:21" x14ac:dyDescent="0.25">
      <c r="A226" s="158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198">
        <v>742235</v>
      </c>
      <c r="G226" s="16">
        <v>4294</v>
      </c>
      <c r="H226" s="16">
        <v>20544</v>
      </c>
      <c r="I226" s="16">
        <f t="shared" si="49"/>
        <v>2260058</v>
      </c>
      <c r="J226" s="7">
        <v>1574</v>
      </c>
      <c r="K226" s="7">
        <v>1207475</v>
      </c>
      <c r="L226" s="7">
        <f t="shared" ref="L226:L231" si="50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29">
        <f t="shared" si="38"/>
        <v>9653</v>
      </c>
      <c r="R226" s="72">
        <f t="shared" si="48"/>
        <v>2.8583029907674282E-2</v>
      </c>
      <c r="S226" s="62">
        <f t="shared" si="47"/>
        <v>3.6960043562039052E-2</v>
      </c>
      <c r="U226" s="146"/>
    </row>
    <row r="227" spans="1:21" x14ac:dyDescent="0.25">
      <c r="A227" s="158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198">
        <v>751146</v>
      </c>
      <c r="G227" s="16">
        <v>4316</v>
      </c>
      <c r="H227" s="4">
        <v>23519</v>
      </c>
      <c r="I227" s="16">
        <f t="shared" si="49"/>
        <v>2283577</v>
      </c>
      <c r="J227" s="7">
        <v>1574</v>
      </c>
      <c r="K227" s="7">
        <v>1219715</v>
      </c>
      <c r="L227" s="7">
        <f t="shared" si="50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29">
        <f t="shared" si="38"/>
        <v>8911</v>
      </c>
      <c r="R227" s="72">
        <f t="shared" si="48"/>
        <v>2.7684413085311096E-2</v>
      </c>
      <c r="S227" s="62">
        <f t="shared" si="47"/>
        <v>3.6742222078063769E-2</v>
      </c>
      <c r="U227" s="146"/>
    </row>
    <row r="228" spans="1:21" x14ac:dyDescent="0.25">
      <c r="A228" s="158">
        <v>44119</v>
      </c>
      <c r="B228" s="149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198">
        <v>764859</v>
      </c>
      <c r="G228" s="16">
        <v>4278</v>
      </c>
      <c r="H228" s="4">
        <v>27662</v>
      </c>
      <c r="I228" s="16">
        <f t="shared" si="49"/>
        <v>2311239</v>
      </c>
      <c r="J228" s="7">
        <v>1575</v>
      </c>
      <c r="K228" s="7">
        <v>1234321</v>
      </c>
      <c r="L228" s="7">
        <f t="shared" si="50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29">
        <f t="shared" si="38"/>
        <v>13713</v>
      </c>
      <c r="R228" s="72">
        <f t="shared" ref="R228:R245" si="51">G228/(C228-E228-F228)</f>
        <v>2.692903274540167E-2</v>
      </c>
      <c r="S228" s="62">
        <f t="shared" si="47"/>
        <v>3.6661916714286751E-2</v>
      </c>
      <c r="U228" s="146"/>
    </row>
    <row r="229" spans="1:21" x14ac:dyDescent="0.25">
      <c r="A229" s="158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198">
        <v>778501</v>
      </c>
      <c r="G229" s="16">
        <v>4346</v>
      </c>
      <c r="H229" s="4">
        <v>27412</v>
      </c>
      <c r="I229" s="16">
        <f t="shared" si="49"/>
        <v>2338651</v>
      </c>
      <c r="J229" s="7">
        <v>1597</v>
      </c>
      <c r="K229" s="7">
        <v>1248101</v>
      </c>
      <c r="L229" s="7">
        <f t="shared" si="50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29">
        <f t="shared" si="38"/>
        <v>13642</v>
      </c>
      <c r="R229" s="72">
        <f t="shared" si="51"/>
        <v>2.6929058722201912E-2</v>
      </c>
      <c r="S229" s="62">
        <f t="shared" si="47"/>
        <v>3.6614357052972023E-2</v>
      </c>
      <c r="U229" s="146"/>
    </row>
    <row r="230" spans="1:21" x14ac:dyDescent="0.25">
      <c r="A230" s="158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198">
        <v>791174</v>
      </c>
      <c r="G230" s="16">
        <v>4386</v>
      </c>
      <c r="H230" s="4">
        <v>20955</v>
      </c>
      <c r="I230" s="16">
        <f t="shared" si="49"/>
        <v>2359606</v>
      </c>
      <c r="J230" s="7">
        <v>1611</v>
      </c>
      <c r="K230" s="7">
        <v>1260920</v>
      </c>
      <c r="L230" s="7">
        <f t="shared" si="50"/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29">
        <f t="shared" si="38"/>
        <v>12673</v>
      </c>
      <c r="R230" s="72">
        <f t="shared" si="51"/>
        <v>2.7100672882644075E-2</v>
      </c>
      <c r="S230" s="62">
        <f t="shared" si="47"/>
        <v>3.6697712016307595E-2</v>
      </c>
      <c r="U230" s="146"/>
    </row>
    <row r="231" spans="1:21" x14ac:dyDescent="0.25">
      <c r="A231" s="158">
        <v>44122</v>
      </c>
      <c r="B231" s="16">
        <v>10561</v>
      </c>
      <c r="C231" s="16">
        <f t="shared" ref="C231:C241" si="52">C230+B231</f>
        <v>989680</v>
      </c>
      <c r="D231" s="4">
        <v>161</v>
      </c>
      <c r="E231" s="7">
        <f t="shared" ref="E231:E239" si="53">E230+D231</f>
        <v>26265</v>
      </c>
      <c r="F231" s="198">
        <v>803965</v>
      </c>
      <c r="G231" s="16">
        <v>4387</v>
      </c>
      <c r="H231" s="4">
        <v>13890</v>
      </c>
      <c r="I231" s="16">
        <f t="shared" si="49"/>
        <v>2373496</v>
      </c>
      <c r="J231" s="7">
        <v>1617</v>
      </c>
      <c r="K231" s="7">
        <v>1269203</v>
      </c>
      <c r="L231" s="4">
        <f t="shared" si="50"/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29">
        <f t="shared" si="38"/>
        <v>12791</v>
      </c>
      <c r="R231" s="72">
        <f t="shared" si="51"/>
        <v>2.751332706177485E-2</v>
      </c>
      <c r="S231" s="62">
        <f t="shared" si="47"/>
        <v>3.6321169578998024E-2</v>
      </c>
      <c r="U231" s="146"/>
    </row>
    <row r="232" spans="1:21" x14ac:dyDescent="0.25">
      <c r="A232" s="158">
        <v>44123</v>
      </c>
      <c r="B232" s="16">
        <v>12982</v>
      </c>
      <c r="C232" s="16">
        <f t="shared" si="52"/>
        <v>1002662</v>
      </c>
      <c r="D232" s="4">
        <v>448</v>
      </c>
      <c r="E232" s="7">
        <f t="shared" si="53"/>
        <v>26713</v>
      </c>
      <c r="F232" s="198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29">
        <f t="shared" si="38"/>
        <v>12282</v>
      </c>
      <c r="R232" s="72">
        <f t="shared" si="51"/>
        <v>2.7501221024157495E-2</v>
      </c>
      <c r="S232" s="62">
        <f t="shared" si="47"/>
        <v>3.6264829780792797E-2</v>
      </c>
      <c r="U232" s="146"/>
    </row>
    <row r="233" spans="1:21" x14ac:dyDescent="0.25">
      <c r="A233" s="158">
        <v>44124</v>
      </c>
      <c r="B233" s="16">
        <v>16337</v>
      </c>
      <c r="C233" s="16">
        <f t="shared" si="52"/>
        <v>1018999</v>
      </c>
      <c r="D233" s="4">
        <v>382</v>
      </c>
      <c r="E233" s="7">
        <f t="shared" si="53"/>
        <v>27095</v>
      </c>
      <c r="F233" s="198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29">
        <f t="shared" si="38"/>
        <v>13400</v>
      </c>
      <c r="R233" s="72">
        <f t="shared" si="51"/>
        <v>2.7431790307968225E-2</v>
      </c>
      <c r="S233" s="62">
        <f t="shared" ref="S233:S245" si="54">E233/C213</f>
        <v>3.6078513876812414E-2</v>
      </c>
      <c r="U233" s="146"/>
    </row>
    <row r="234" spans="1:21" x14ac:dyDescent="0.25">
      <c r="A234" s="158">
        <v>44125</v>
      </c>
      <c r="B234" s="201">
        <v>18326</v>
      </c>
      <c r="C234" s="16">
        <f t="shared" si="52"/>
        <v>1037325</v>
      </c>
      <c r="D234" s="4">
        <v>423</v>
      </c>
      <c r="E234" s="7">
        <f t="shared" si="53"/>
        <v>27518</v>
      </c>
      <c r="F234" s="198">
        <v>840520</v>
      </c>
      <c r="G234" s="16">
        <v>4573</v>
      </c>
      <c r="H234" s="16">
        <v>38340</v>
      </c>
      <c r="I234" s="16">
        <f t="shared" ref="I234:I239" si="55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29">
        <f t="shared" si="38"/>
        <v>10873</v>
      </c>
      <c r="R234" s="72">
        <f t="shared" si="51"/>
        <v>2.7013296945424044E-2</v>
      </c>
      <c r="S234" s="62">
        <f t="shared" si="54"/>
        <v>3.597114778784892E-2</v>
      </c>
      <c r="U234" s="146"/>
    </row>
    <row r="235" spans="1:21" x14ac:dyDescent="0.25">
      <c r="A235" s="158">
        <v>44126</v>
      </c>
      <c r="B235" s="16">
        <v>16325</v>
      </c>
      <c r="C235" s="16">
        <f t="shared" si="52"/>
        <v>1053650</v>
      </c>
      <c r="D235" s="205">
        <v>437</v>
      </c>
      <c r="E235" s="206">
        <f t="shared" si="53"/>
        <v>27955</v>
      </c>
      <c r="F235" s="207">
        <v>851854</v>
      </c>
      <c r="G235" s="206">
        <v>4611</v>
      </c>
      <c r="H235" s="206">
        <v>39196</v>
      </c>
      <c r="I235" s="206">
        <f t="shared" si="55"/>
        <v>2741416</v>
      </c>
      <c r="J235" s="206">
        <v>1832</v>
      </c>
      <c r="K235" s="206">
        <v>1332741</v>
      </c>
      <c r="L235" s="206">
        <f>K235+J235</f>
        <v>1334573</v>
      </c>
      <c r="M235" s="206">
        <v>8614</v>
      </c>
      <c r="N235" s="206">
        <v>205085</v>
      </c>
      <c r="O235" s="206">
        <v>714929</v>
      </c>
      <c r="P235" s="206">
        <f>C235-M235-N235-O235</f>
        <v>125022</v>
      </c>
      <c r="Q235" s="207">
        <f t="shared" si="38"/>
        <v>11334</v>
      </c>
      <c r="R235" s="72">
        <f t="shared" si="51"/>
        <v>2.6524237665452914E-2</v>
      </c>
      <c r="S235" s="62">
        <f t="shared" si="54"/>
        <v>3.5854039238722109E-2</v>
      </c>
      <c r="U235" s="146"/>
    </row>
    <row r="236" spans="1:21" x14ac:dyDescent="0.25">
      <c r="A236" s="158">
        <v>44127</v>
      </c>
      <c r="B236" s="16">
        <v>15718</v>
      </c>
      <c r="C236" s="16">
        <f t="shared" si="52"/>
        <v>1069368</v>
      </c>
      <c r="D236" s="205">
        <v>382</v>
      </c>
      <c r="E236" s="206">
        <f t="shared" si="53"/>
        <v>28337</v>
      </c>
      <c r="F236" s="207">
        <v>866695</v>
      </c>
      <c r="G236" s="206">
        <v>4696</v>
      </c>
      <c r="H236" s="206">
        <v>35671</v>
      </c>
      <c r="I236" s="206">
        <f t="shared" si="55"/>
        <v>2777087</v>
      </c>
      <c r="J236" s="206">
        <v>1839</v>
      </c>
      <c r="K236" s="206">
        <v>1348372</v>
      </c>
      <c r="L236" s="206">
        <f t="shared" ref="L236:L281" si="56">K236+J236</f>
        <v>1350211</v>
      </c>
      <c r="M236" s="206">
        <v>8671</v>
      </c>
      <c r="N236" s="208">
        <v>208116</v>
      </c>
      <c r="O236" s="208">
        <v>727467</v>
      </c>
      <c r="P236" s="206">
        <f t="shared" ref="P236:P281" si="57">C236-M236-N236-O236</f>
        <v>125114</v>
      </c>
      <c r="Q236" s="207">
        <f t="shared" si="38"/>
        <v>14841</v>
      </c>
      <c r="R236" s="72">
        <f t="shared" si="51"/>
        <v>2.6936490455212923E-2</v>
      </c>
      <c r="S236" s="62">
        <f t="shared" si="54"/>
        <v>3.5832517722156045E-2</v>
      </c>
      <c r="U236" s="146"/>
    </row>
    <row r="237" spans="1:21" x14ac:dyDescent="0.25">
      <c r="A237" s="158">
        <v>44128</v>
      </c>
      <c r="B237" s="16">
        <v>11968</v>
      </c>
      <c r="C237" s="16">
        <f t="shared" si="52"/>
        <v>1081336</v>
      </c>
      <c r="D237" s="205">
        <v>274</v>
      </c>
      <c r="E237" s="206">
        <f t="shared" si="53"/>
        <v>28611</v>
      </c>
      <c r="F237" s="207">
        <v>881113</v>
      </c>
      <c r="G237" s="206">
        <v>4850</v>
      </c>
      <c r="H237" s="206">
        <v>27027</v>
      </c>
      <c r="I237" s="206">
        <f t="shared" si="55"/>
        <v>2804114</v>
      </c>
      <c r="J237" s="206">
        <v>1868</v>
      </c>
      <c r="K237" s="206">
        <v>1359984</v>
      </c>
      <c r="L237" s="206">
        <f t="shared" si="56"/>
        <v>1361852</v>
      </c>
      <c r="M237" s="206">
        <v>8708</v>
      </c>
      <c r="N237" s="208">
        <v>210053</v>
      </c>
      <c r="O237" s="208">
        <v>735763</v>
      </c>
      <c r="P237" s="206">
        <f t="shared" si="57"/>
        <v>126812</v>
      </c>
      <c r="Q237" s="207">
        <f t="shared" si="38"/>
        <v>14418</v>
      </c>
      <c r="R237" s="72">
        <f t="shared" si="51"/>
        <v>2.8261426939841038E-2</v>
      </c>
      <c r="S237" s="62">
        <f t="shared" si="54"/>
        <v>3.5831561229627072E-2</v>
      </c>
      <c r="T237" s="213"/>
      <c r="U237" s="146"/>
    </row>
    <row r="238" spans="1:21" x14ac:dyDescent="0.25">
      <c r="A238" s="158">
        <v>44129</v>
      </c>
      <c r="B238" s="16">
        <v>9253</v>
      </c>
      <c r="C238" s="16">
        <f t="shared" si="52"/>
        <v>1090589</v>
      </c>
      <c r="D238" s="205">
        <v>283</v>
      </c>
      <c r="E238" s="206">
        <f t="shared" si="53"/>
        <v>28894</v>
      </c>
      <c r="F238" s="207">
        <v>894819</v>
      </c>
      <c r="G238" s="206">
        <v>4863</v>
      </c>
      <c r="H238" s="206">
        <v>20303</v>
      </c>
      <c r="I238" s="206">
        <f t="shared" si="55"/>
        <v>2824417</v>
      </c>
      <c r="J238" s="206">
        <v>1904</v>
      </c>
      <c r="K238" s="206">
        <v>1367953</v>
      </c>
      <c r="L238" s="206">
        <f t="shared" si="56"/>
        <v>1369857</v>
      </c>
      <c r="M238" s="206">
        <v>8749</v>
      </c>
      <c r="N238" s="206">
        <v>211123</v>
      </c>
      <c r="O238" s="206">
        <v>741313</v>
      </c>
      <c r="P238" s="206">
        <f t="shared" si="57"/>
        <v>129404</v>
      </c>
      <c r="Q238" s="207">
        <f t="shared" si="38"/>
        <v>13706</v>
      </c>
      <c r="R238" s="72">
        <f t="shared" si="51"/>
        <v>2.9141398403605072E-2</v>
      </c>
      <c r="S238" s="62">
        <f t="shared" si="54"/>
        <v>3.5683587575086946E-2</v>
      </c>
      <c r="T238" s="213"/>
      <c r="U238" s="146"/>
    </row>
    <row r="239" spans="1:21" x14ac:dyDescent="0.25">
      <c r="A239" s="158">
        <v>44130</v>
      </c>
      <c r="B239" s="16">
        <v>11712</v>
      </c>
      <c r="C239" s="16">
        <f t="shared" si="52"/>
        <v>1102301</v>
      </c>
      <c r="D239" s="205">
        <v>405</v>
      </c>
      <c r="E239" s="206">
        <f t="shared" si="53"/>
        <v>29299</v>
      </c>
      <c r="F239" s="207">
        <v>909586</v>
      </c>
      <c r="G239" s="206">
        <v>5038</v>
      </c>
      <c r="H239" s="206">
        <v>26448</v>
      </c>
      <c r="I239" s="206">
        <f t="shared" si="55"/>
        <v>2850865</v>
      </c>
      <c r="J239" s="206">
        <v>1956</v>
      </c>
      <c r="K239" s="206">
        <v>1378916</v>
      </c>
      <c r="L239" s="206">
        <f t="shared" si="56"/>
        <v>1380872</v>
      </c>
      <c r="M239" s="208">
        <v>8816</v>
      </c>
      <c r="N239" s="208">
        <v>213578</v>
      </c>
      <c r="O239" s="208">
        <v>753406</v>
      </c>
      <c r="P239" s="206">
        <f t="shared" si="57"/>
        <v>126501</v>
      </c>
      <c r="Q239" s="207">
        <f t="shared" si="38"/>
        <v>14767</v>
      </c>
      <c r="R239" s="72">
        <f t="shared" si="51"/>
        <v>3.0829294561120085E-2</v>
      </c>
      <c r="S239" s="62">
        <f t="shared" si="54"/>
        <v>3.5536855281223773E-2</v>
      </c>
      <c r="T239" s="213"/>
      <c r="U239" s="146"/>
    </row>
    <row r="240" spans="1:21" x14ac:dyDescent="0.25">
      <c r="A240" s="158">
        <v>44131</v>
      </c>
      <c r="B240" s="16">
        <v>14308</v>
      </c>
      <c r="C240" s="16">
        <f t="shared" si="52"/>
        <v>1116609</v>
      </c>
      <c r="D240" s="205">
        <v>425</v>
      </c>
      <c r="E240" s="206">
        <f>E239+D240</f>
        <v>29724</v>
      </c>
      <c r="F240" s="207">
        <v>921344</v>
      </c>
      <c r="G240" s="206">
        <v>4952</v>
      </c>
      <c r="H240" s="206">
        <v>32847</v>
      </c>
      <c r="I240" s="206">
        <v>2882949</v>
      </c>
      <c r="J240" s="206">
        <v>2043</v>
      </c>
      <c r="K240" s="206">
        <v>1392805</v>
      </c>
      <c r="L240" s="206">
        <f t="shared" si="56"/>
        <v>1394848</v>
      </c>
      <c r="M240" s="206">
        <v>8868</v>
      </c>
      <c r="N240" s="206">
        <v>216480</v>
      </c>
      <c r="O240" s="206">
        <v>765831</v>
      </c>
      <c r="P240" s="206">
        <f t="shared" si="57"/>
        <v>125430</v>
      </c>
      <c r="Q240" s="207">
        <f t="shared" si="38"/>
        <v>11758</v>
      </c>
      <c r="R240" s="72">
        <f t="shared" si="51"/>
        <v>2.991403942225793E-2</v>
      </c>
      <c r="S240" s="62">
        <f t="shared" si="54"/>
        <v>3.5347211073651914E-2</v>
      </c>
      <c r="T240" s="213"/>
      <c r="U240" s="146"/>
    </row>
    <row r="241" spans="1:23" x14ac:dyDescent="0.25">
      <c r="A241" s="158">
        <v>44132</v>
      </c>
      <c r="B241" s="16">
        <v>13924</v>
      </c>
      <c r="C241" s="16">
        <f t="shared" si="52"/>
        <v>1130533</v>
      </c>
      <c r="D241" s="205">
        <v>345</v>
      </c>
      <c r="E241" s="206">
        <f t="shared" ref="E241:E256" si="58">E240+D241</f>
        <v>30069</v>
      </c>
      <c r="F241" s="207">
        <v>931147</v>
      </c>
      <c r="G241" s="206">
        <v>5037</v>
      </c>
      <c r="H241" s="206">
        <v>32827</v>
      </c>
      <c r="I241" s="206">
        <f t="shared" ref="I241:I246" si="59">I240+H241</f>
        <v>2915776</v>
      </c>
      <c r="J241" s="206">
        <v>2109</v>
      </c>
      <c r="K241" s="206">
        <v>1406416</v>
      </c>
      <c r="L241" s="206">
        <f t="shared" si="56"/>
        <v>1408525</v>
      </c>
      <c r="M241" s="208">
        <v>8959</v>
      </c>
      <c r="N241" s="208">
        <v>219233</v>
      </c>
      <c r="O241" s="208">
        <v>777424</v>
      </c>
      <c r="P241" s="206">
        <f t="shared" si="57"/>
        <v>124917</v>
      </c>
      <c r="Q241" s="207">
        <f t="shared" si="38"/>
        <v>9803</v>
      </c>
      <c r="R241" s="72">
        <f t="shared" si="51"/>
        <v>2.97489324757703E-2</v>
      </c>
      <c r="S241" s="62">
        <f t="shared" si="54"/>
        <v>3.5112200464986469E-2</v>
      </c>
      <c r="T241" s="213"/>
      <c r="U241" s="146"/>
      <c r="V241" s="95"/>
      <c r="W241" s="213"/>
    </row>
    <row r="242" spans="1:23" x14ac:dyDescent="0.25">
      <c r="A242" s="158">
        <v>44133</v>
      </c>
      <c r="B242" s="16">
        <v>13267</v>
      </c>
      <c r="C242" s="16">
        <f>C241+B242</f>
        <v>1143800</v>
      </c>
      <c r="D242" s="205">
        <v>372</v>
      </c>
      <c r="E242" s="206">
        <f t="shared" si="58"/>
        <v>30441</v>
      </c>
      <c r="F242" s="207">
        <v>946134</v>
      </c>
      <c r="G242" s="206">
        <v>4981</v>
      </c>
      <c r="H242" s="206">
        <v>31568</v>
      </c>
      <c r="I242" s="206">
        <f t="shared" si="59"/>
        <v>2947344</v>
      </c>
      <c r="J242" s="206">
        <v>2160</v>
      </c>
      <c r="K242" s="206">
        <v>1420288</v>
      </c>
      <c r="L242" s="206">
        <f t="shared" si="56"/>
        <v>1422448</v>
      </c>
      <c r="M242" s="206">
        <v>9010</v>
      </c>
      <c r="N242" s="206">
        <v>221851</v>
      </c>
      <c r="O242" s="206">
        <v>788337</v>
      </c>
      <c r="P242" s="206">
        <f t="shared" si="57"/>
        <v>124602</v>
      </c>
      <c r="Q242" s="207">
        <f t="shared" si="38"/>
        <v>14987</v>
      </c>
      <c r="R242" s="72">
        <f t="shared" si="51"/>
        <v>2.9786216175811033E-2</v>
      </c>
      <c r="S242" s="62">
        <f t="shared" si="54"/>
        <v>3.4930714610289765E-2</v>
      </c>
      <c r="T242" s="213"/>
      <c r="U242" s="146"/>
      <c r="V242" s="95"/>
      <c r="W242" s="213"/>
    </row>
    <row r="243" spans="1:23" x14ac:dyDescent="0.25">
      <c r="A243" s="158">
        <v>44134</v>
      </c>
      <c r="B243" s="16">
        <v>13379</v>
      </c>
      <c r="C243" s="16">
        <f>C242+B243</f>
        <v>1157179</v>
      </c>
      <c r="D243" s="205">
        <v>349</v>
      </c>
      <c r="E243" s="206">
        <f t="shared" si="58"/>
        <v>30790</v>
      </c>
      <c r="F243" s="207">
        <v>961101</v>
      </c>
      <c r="G243" s="206">
        <v>4981</v>
      </c>
      <c r="H243" s="206">
        <v>32761</v>
      </c>
      <c r="I243" s="206">
        <f t="shared" si="59"/>
        <v>2980105</v>
      </c>
      <c r="J243" s="206">
        <v>2198</v>
      </c>
      <c r="K243" s="206">
        <v>1435121</v>
      </c>
      <c r="L243" s="206">
        <f t="shared" si="56"/>
        <v>1437319</v>
      </c>
      <c r="M243" s="206">
        <v>9073</v>
      </c>
      <c r="N243" s="206">
        <v>224367</v>
      </c>
      <c r="O243" s="206">
        <v>799735</v>
      </c>
      <c r="P243" s="206">
        <f t="shared" si="57"/>
        <v>124004</v>
      </c>
      <c r="Q243" s="207">
        <f t="shared" si="38"/>
        <v>14967</v>
      </c>
      <c r="R243" s="72">
        <f t="shared" si="51"/>
        <v>3.0135279028120614E-2</v>
      </c>
      <c r="S243" s="62">
        <f t="shared" si="54"/>
        <v>3.4834966658445356E-2</v>
      </c>
      <c r="T243" s="213"/>
      <c r="U243" s="146"/>
      <c r="V243" s="95"/>
      <c r="W243" s="213"/>
    </row>
    <row r="244" spans="1:23" x14ac:dyDescent="0.25">
      <c r="A244" s="158">
        <v>44135</v>
      </c>
      <c r="B244" s="16">
        <v>9745</v>
      </c>
      <c r="C244" s="16">
        <f t="shared" ref="C244:C256" si="60">C243+B244</f>
        <v>1166924</v>
      </c>
      <c r="D244" s="205">
        <v>210</v>
      </c>
      <c r="E244" s="206">
        <f t="shared" si="58"/>
        <v>31000</v>
      </c>
      <c r="F244" s="207">
        <v>973939</v>
      </c>
      <c r="G244" s="206">
        <v>4969</v>
      </c>
      <c r="H244" s="206">
        <v>26699</v>
      </c>
      <c r="I244" s="206">
        <f t="shared" si="59"/>
        <v>3006804</v>
      </c>
      <c r="J244" s="208">
        <v>2357</v>
      </c>
      <c r="K244" s="209">
        <v>1447945</v>
      </c>
      <c r="L244" s="206">
        <f t="shared" si="56"/>
        <v>1450302</v>
      </c>
      <c r="M244" s="208">
        <v>9103</v>
      </c>
      <c r="N244" s="208">
        <v>225845</v>
      </c>
      <c r="O244" s="208">
        <v>808139</v>
      </c>
      <c r="P244" s="206">
        <f t="shared" si="57"/>
        <v>123837</v>
      </c>
      <c r="Q244" s="207">
        <f t="shared" si="38"/>
        <v>12838</v>
      </c>
      <c r="R244" s="72">
        <f t="shared" si="51"/>
        <v>3.0675679846899406E-2</v>
      </c>
      <c r="S244" s="62">
        <f t="shared" si="54"/>
        <v>3.4667626922655403E-2</v>
      </c>
      <c r="T244" s="213"/>
      <c r="U244" s="146"/>
      <c r="V244" s="95"/>
      <c r="W244" s="213"/>
    </row>
    <row r="245" spans="1:23" x14ac:dyDescent="0.25">
      <c r="A245" s="158">
        <v>44136</v>
      </c>
      <c r="B245" s="16">
        <v>6609</v>
      </c>
      <c r="C245" s="16">
        <f t="shared" si="60"/>
        <v>1173533</v>
      </c>
      <c r="D245" s="205">
        <v>135</v>
      </c>
      <c r="E245" s="206">
        <f t="shared" si="58"/>
        <v>31135</v>
      </c>
      <c r="F245" s="207">
        <v>985316</v>
      </c>
      <c r="G245" s="206">
        <v>5119</v>
      </c>
      <c r="H245" s="206">
        <v>15645</v>
      </c>
      <c r="I245" s="206">
        <f t="shared" si="59"/>
        <v>3022449</v>
      </c>
      <c r="J245" s="208">
        <v>2393</v>
      </c>
      <c r="K245" s="208">
        <v>1455146</v>
      </c>
      <c r="L245" s="206">
        <f t="shared" si="56"/>
        <v>1457539</v>
      </c>
      <c r="M245" s="208">
        <v>9123</v>
      </c>
      <c r="N245" s="208">
        <v>226864</v>
      </c>
      <c r="O245" s="208">
        <v>813376</v>
      </c>
      <c r="P245" s="206">
        <f t="shared" si="57"/>
        <v>124170</v>
      </c>
      <c r="Q245" s="207">
        <f t="shared" si="38"/>
        <v>11377</v>
      </c>
      <c r="R245" s="72">
        <f t="shared" si="51"/>
        <v>3.2588075018143391E-2</v>
      </c>
      <c r="S245" s="62">
        <f t="shared" si="54"/>
        <v>3.4451661447556237E-2</v>
      </c>
      <c r="T245" s="213"/>
      <c r="U245" s="146"/>
      <c r="V245" s="95"/>
      <c r="W245" s="213"/>
    </row>
    <row r="246" spans="1:23" x14ac:dyDescent="0.25">
      <c r="A246" s="158">
        <v>44137</v>
      </c>
      <c r="B246" s="16">
        <v>9598</v>
      </c>
      <c r="C246" s="16">
        <f t="shared" si="60"/>
        <v>1183131</v>
      </c>
      <c r="D246" s="205">
        <v>482</v>
      </c>
      <c r="E246" s="206">
        <f t="shared" si="58"/>
        <v>31617</v>
      </c>
      <c r="F246" s="207">
        <v>998016</v>
      </c>
      <c r="G246" s="206">
        <v>4992</v>
      </c>
      <c r="H246" s="206">
        <v>249864</v>
      </c>
      <c r="I246" s="206">
        <f t="shared" si="59"/>
        <v>3272313</v>
      </c>
      <c r="J246" s="208">
        <v>2514</v>
      </c>
      <c r="K246" s="208">
        <v>1467420</v>
      </c>
      <c r="L246" s="206">
        <f t="shared" si="56"/>
        <v>1469934</v>
      </c>
      <c r="M246" s="208">
        <v>9159</v>
      </c>
      <c r="N246" s="208">
        <v>229301</v>
      </c>
      <c r="O246" s="208">
        <v>822808</v>
      </c>
      <c r="P246" s="206">
        <f t="shared" si="57"/>
        <v>121863</v>
      </c>
      <c r="Q246" s="207">
        <f t="shared" si="38"/>
        <v>12700</v>
      </c>
      <c r="R246" s="9">
        <f t="shared" ref="R246:R252" si="61">G246-G245</f>
        <v>-127</v>
      </c>
      <c r="S246" s="4"/>
      <c r="T246" s="213"/>
      <c r="U246" s="146"/>
      <c r="V246" s="95"/>
      <c r="W246" s="213"/>
    </row>
    <row r="247" spans="1:23" x14ac:dyDescent="0.25">
      <c r="A247" s="158">
        <v>44138</v>
      </c>
      <c r="B247" s="16">
        <v>12145</v>
      </c>
      <c r="C247" s="16">
        <f t="shared" si="60"/>
        <v>1195276</v>
      </c>
      <c r="D247" s="205">
        <v>430</v>
      </c>
      <c r="E247" s="206">
        <f t="shared" si="58"/>
        <v>32047</v>
      </c>
      <c r="F247" s="207">
        <v>1009278</v>
      </c>
      <c r="G247" s="206">
        <v>4854</v>
      </c>
      <c r="H247" s="206">
        <v>30999</v>
      </c>
      <c r="I247" s="206">
        <f t="shared" ref="I247:I256" si="62">I246+H247</f>
        <v>3303312</v>
      </c>
      <c r="J247" s="208">
        <v>2583</v>
      </c>
      <c r="K247" s="208">
        <v>1482833</v>
      </c>
      <c r="L247" s="206">
        <f t="shared" si="56"/>
        <v>1485416</v>
      </c>
      <c r="M247" s="208">
        <v>9211</v>
      </c>
      <c r="N247" s="208">
        <v>232229</v>
      </c>
      <c r="O247" s="208">
        <v>832741</v>
      </c>
      <c r="P247" s="206">
        <f t="shared" si="57"/>
        <v>121095</v>
      </c>
      <c r="Q247" s="207">
        <f t="shared" si="38"/>
        <v>11262</v>
      </c>
      <c r="R247" s="9">
        <f t="shared" si="61"/>
        <v>-138</v>
      </c>
      <c r="S247" s="4"/>
      <c r="T247" s="213"/>
      <c r="U247" s="146"/>
      <c r="V247" s="95"/>
      <c r="W247" s="213"/>
    </row>
    <row r="248" spans="1:23" x14ac:dyDescent="0.25">
      <c r="A248" s="158">
        <v>44139</v>
      </c>
      <c r="B248" s="16">
        <v>10652</v>
      </c>
      <c r="C248" s="16">
        <f t="shared" si="60"/>
        <v>1205928</v>
      </c>
      <c r="D248" s="205">
        <v>465</v>
      </c>
      <c r="E248" s="206">
        <f t="shared" si="58"/>
        <v>32512</v>
      </c>
      <c r="F248" s="207">
        <v>1017647</v>
      </c>
      <c r="G248" s="206">
        <v>4816</v>
      </c>
      <c r="H248" s="206">
        <v>36435</v>
      </c>
      <c r="I248" s="206">
        <f t="shared" si="62"/>
        <v>3339747</v>
      </c>
      <c r="J248" s="208">
        <v>2640</v>
      </c>
      <c r="K248" s="208">
        <v>1503103</v>
      </c>
      <c r="L248" s="206">
        <f t="shared" si="56"/>
        <v>1505743</v>
      </c>
      <c r="M248" s="208">
        <v>9251</v>
      </c>
      <c r="N248" s="208">
        <v>234718</v>
      </c>
      <c r="O248" s="208">
        <v>842950</v>
      </c>
      <c r="P248" s="206">
        <f t="shared" si="57"/>
        <v>119009</v>
      </c>
      <c r="Q248" s="207">
        <f t="shared" si="38"/>
        <v>8369</v>
      </c>
      <c r="R248" s="79">
        <f t="shared" si="61"/>
        <v>-38</v>
      </c>
      <c r="S248" s="4"/>
      <c r="T248" s="213"/>
      <c r="U248" s="146"/>
      <c r="V248" s="95"/>
      <c r="W248" s="213"/>
    </row>
    <row r="249" spans="1:23" x14ac:dyDescent="0.25">
      <c r="A249" s="158">
        <v>44140</v>
      </c>
      <c r="B249" s="16">
        <v>11100</v>
      </c>
      <c r="C249" s="16">
        <f t="shared" si="60"/>
        <v>1217028</v>
      </c>
      <c r="D249" s="205">
        <v>247</v>
      </c>
      <c r="E249" s="206">
        <f t="shared" si="58"/>
        <v>32759</v>
      </c>
      <c r="F249" s="207">
        <v>1030137</v>
      </c>
      <c r="G249" s="206">
        <v>4713</v>
      </c>
      <c r="H249" s="206">
        <v>28900</v>
      </c>
      <c r="I249" s="206">
        <f t="shared" si="62"/>
        <v>3368647</v>
      </c>
      <c r="J249" s="208">
        <v>2667</v>
      </c>
      <c r="K249" s="208">
        <v>1516132</v>
      </c>
      <c r="L249" s="206">
        <f t="shared" si="56"/>
        <v>1518799</v>
      </c>
      <c r="M249" s="208">
        <v>9294</v>
      </c>
      <c r="N249" s="208">
        <v>237018</v>
      </c>
      <c r="O249" s="208">
        <v>851916</v>
      </c>
      <c r="P249" s="206">
        <f t="shared" si="57"/>
        <v>118800</v>
      </c>
      <c r="Q249" s="207">
        <f t="shared" ref="Q249:Q255" si="63">F249-F248</f>
        <v>12490</v>
      </c>
      <c r="R249" s="79">
        <f t="shared" si="61"/>
        <v>-103</v>
      </c>
      <c r="S249" s="4"/>
      <c r="T249" s="213"/>
      <c r="U249" s="146"/>
      <c r="V249" s="95"/>
      <c r="W249" s="213"/>
    </row>
    <row r="250" spans="1:23" x14ac:dyDescent="0.25">
      <c r="A250" s="158">
        <v>44141</v>
      </c>
      <c r="B250" s="16">
        <v>11786</v>
      </c>
      <c r="C250" s="16">
        <f t="shared" si="60"/>
        <v>1228814</v>
      </c>
      <c r="D250" s="205">
        <v>370</v>
      </c>
      <c r="E250" s="206">
        <f t="shared" si="58"/>
        <v>33129</v>
      </c>
      <c r="F250" s="207">
        <v>1042237</v>
      </c>
      <c r="G250" s="206">
        <v>4666</v>
      </c>
      <c r="H250" s="206">
        <v>34727</v>
      </c>
      <c r="I250" s="206">
        <f t="shared" si="62"/>
        <v>3403374</v>
      </c>
      <c r="J250" s="208">
        <v>2702</v>
      </c>
      <c r="K250" s="208">
        <v>1534460</v>
      </c>
      <c r="L250" s="206">
        <f t="shared" si="56"/>
        <v>1537162</v>
      </c>
      <c r="M250" s="208">
        <v>9349</v>
      </c>
      <c r="N250" s="208">
        <v>239488</v>
      </c>
      <c r="O250" s="208">
        <v>861070</v>
      </c>
      <c r="P250" s="206">
        <f t="shared" si="57"/>
        <v>118907</v>
      </c>
      <c r="Q250" s="207">
        <f t="shared" si="63"/>
        <v>12100</v>
      </c>
      <c r="R250" s="79">
        <f t="shared" si="61"/>
        <v>-47</v>
      </c>
      <c r="S250" s="4"/>
      <c r="T250" s="213"/>
      <c r="U250" s="146"/>
      <c r="V250" s="95"/>
      <c r="W250" s="213"/>
    </row>
    <row r="251" spans="1:23" x14ac:dyDescent="0.25">
      <c r="A251" s="158">
        <v>44142</v>
      </c>
      <c r="B251" s="16">
        <v>8037</v>
      </c>
      <c r="C251" s="16">
        <f t="shared" si="60"/>
        <v>1236851</v>
      </c>
      <c r="D251" s="205">
        <v>212</v>
      </c>
      <c r="E251" s="206">
        <f t="shared" si="58"/>
        <v>33341</v>
      </c>
      <c r="F251" s="207">
        <v>1053313</v>
      </c>
      <c r="G251" s="206">
        <v>4593</v>
      </c>
      <c r="H251" s="206">
        <v>37062</v>
      </c>
      <c r="I251" s="206">
        <f t="shared" si="62"/>
        <v>3440436</v>
      </c>
      <c r="J251" s="208">
        <v>2727</v>
      </c>
      <c r="K251" s="208">
        <v>1559126</v>
      </c>
      <c r="L251" s="206">
        <f t="shared" si="56"/>
        <v>1561853</v>
      </c>
      <c r="M251" s="208">
        <v>9387</v>
      </c>
      <c r="N251" s="208">
        <v>240865</v>
      </c>
      <c r="O251" s="208">
        <v>866690</v>
      </c>
      <c r="P251" s="206">
        <f t="shared" si="57"/>
        <v>119909</v>
      </c>
      <c r="Q251" s="207">
        <f t="shared" si="63"/>
        <v>11076</v>
      </c>
      <c r="R251" s="79">
        <f t="shared" si="61"/>
        <v>-73</v>
      </c>
      <c r="S251" s="4"/>
      <c r="T251" s="213"/>
      <c r="U251" s="146"/>
      <c r="V251" s="95"/>
      <c r="W251" s="213"/>
    </row>
    <row r="252" spans="1:23" x14ac:dyDescent="0.25">
      <c r="A252" s="158">
        <v>44143</v>
      </c>
      <c r="B252" s="16">
        <v>5331</v>
      </c>
      <c r="C252" s="16">
        <f t="shared" si="60"/>
        <v>1242182</v>
      </c>
      <c r="D252" s="205">
        <v>211</v>
      </c>
      <c r="E252" s="206">
        <f t="shared" si="58"/>
        <v>33552</v>
      </c>
      <c r="F252" s="207">
        <v>1062911</v>
      </c>
      <c r="G252" s="206">
        <v>4608</v>
      </c>
      <c r="H252" s="206">
        <v>14025</v>
      </c>
      <c r="I252" s="206">
        <f t="shared" si="62"/>
        <v>3454461</v>
      </c>
      <c r="J252" s="208">
        <v>2760</v>
      </c>
      <c r="K252" s="208">
        <v>1566231</v>
      </c>
      <c r="L252" s="206">
        <f t="shared" si="56"/>
        <v>1568991</v>
      </c>
      <c r="M252" s="208">
        <v>9403</v>
      </c>
      <c r="N252" s="208">
        <v>241673</v>
      </c>
      <c r="O252" s="208">
        <v>871132</v>
      </c>
      <c r="P252" s="206">
        <f t="shared" si="57"/>
        <v>119974</v>
      </c>
      <c r="Q252" s="207">
        <f t="shared" si="63"/>
        <v>9598</v>
      </c>
      <c r="R252" s="79">
        <f t="shared" si="61"/>
        <v>15</v>
      </c>
      <c r="S252" s="4"/>
      <c r="T252" s="213"/>
      <c r="U252" s="146"/>
      <c r="V252" s="95"/>
      <c r="W252" s="213"/>
    </row>
    <row r="253" spans="1:23" x14ac:dyDescent="0.25">
      <c r="A253" s="158">
        <v>44144</v>
      </c>
      <c r="B253" s="16">
        <v>8317</v>
      </c>
      <c r="C253" s="16">
        <f t="shared" si="60"/>
        <v>1250499</v>
      </c>
      <c r="D253" s="205">
        <v>348</v>
      </c>
      <c r="E253" s="206">
        <f t="shared" si="58"/>
        <v>33900</v>
      </c>
      <c r="F253" s="207">
        <v>1073577</v>
      </c>
      <c r="G253" s="206">
        <v>4577</v>
      </c>
      <c r="H253" s="206">
        <v>29570</v>
      </c>
      <c r="I253" s="206">
        <f t="shared" si="62"/>
        <v>3484031</v>
      </c>
      <c r="J253" s="208">
        <v>2798</v>
      </c>
      <c r="K253" s="208">
        <v>1581460</v>
      </c>
      <c r="L253" s="206">
        <f t="shared" si="56"/>
        <v>1584258</v>
      </c>
      <c r="M253" s="208">
        <v>9444</v>
      </c>
      <c r="N253" s="208">
        <v>243982</v>
      </c>
      <c r="O253" s="208">
        <v>878724</v>
      </c>
      <c r="P253" s="206">
        <f t="shared" si="57"/>
        <v>118349</v>
      </c>
      <c r="Q253" s="207">
        <f t="shared" si="63"/>
        <v>10666</v>
      </c>
      <c r="R253" s="79">
        <f t="shared" ref="R253:R261" si="64">G253-G252</f>
        <v>-31</v>
      </c>
      <c r="S253" s="4"/>
      <c r="T253" s="213"/>
      <c r="U253" s="146"/>
      <c r="V253" s="95"/>
      <c r="W253" s="213"/>
    </row>
    <row r="254" spans="1:23" x14ac:dyDescent="0.25">
      <c r="A254" s="158">
        <v>44145</v>
      </c>
      <c r="B254" s="4">
        <v>11977</v>
      </c>
      <c r="C254" s="16">
        <f t="shared" si="60"/>
        <v>1262476</v>
      </c>
      <c r="D254" s="4">
        <v>279</v>
      </c>
      <c r="E254" s="206">
        <f t="shared" si="58"/>
        <v>34179</v>
      </c>
      <c r="F254" s="207">
        <v>1081897</v>
      </c>
      <c r="G254" s="4">
        <v>4494</v>
      </c>
      <c r="H254" s="4">
        <v>31535</v>
      </c>
      <c r="I254" s="206">
        <f t="shared" si="62"/>
        <v>3515566</v>
      </c>
      <c r="J254" s="7">
        <v>2879</v>
      </c>
      <c r="K254" s="7">
        <v>1599337</v>
      </c>
      <c r="L254" s="211">
        <f t="shared" si="56"/>
        <v>1602216</v>
      </c>
      <c r="M254" s="47">
        <v>9481</v>
      </c>
      <c r="N254" s="47">
        <v>246898</v>
      </c>
      <c r="O254" s="47">
        <v>885833</v>
      </c>
      <c r="P254" s="211">
        <f t="shared" si="57"/>
        <v>120264</v>
      </c>
      <c r="Q254" s="212">
        <f t="shared" si="63"/>
        <v>8320</v>
      </c>
      <c r="R254" s="134">
        <f t="shared" si="64"/>
        <v>-83</v>
      </c>
      <c r="S254" s="4"/>
      <c r="T254" s="213"/>
      <c r="U254" s="146"/>
      <c r="V254" s="95"/>
      <c r="W254" s="213"/>
    </row>
    <row r="255" spans="1:23" x14ac:dyDescent="0.25">
      <c r="A255" s="158">
        <v>44146</v>
      </c>
      <c r="B255" s="4">
        <v>10880</v>
      </c>
      <c r="C255" s="16">
        <f t="shared" si="60"/>
        <v>1273356</v>
      </c>
      <c r="D255" s="4">
        <v>348</v>
      </c>
      <c r="E255" s="206">
        <f t="shared" si="58"/>
        <v>34527</v>
      </c>
      <c r="F255" s="198">
        <v>1089529</v>
      </c>
      <c r="G255" s="4">
        <v>4418</v>
      </c>
      <c r="H255" s="4">
        <v>56473</v>
      </c>
      <c r="I255" s="206">
        <f t="shared" si="62"/>
        <v>3572039</v>
      </c>
      <c r="J255" s="7">
        <v>2939</v>
      </c>
      <c r="K255" s="7">
        <v>1635003</v>
      </c>
      <c r="L255" s="206">
        <f t="shared" si="56"/>
        <v>1637942</v>
      </c>
      <c r="M255" s="4">
        <v>9521</v>
      </c>
      <c r="N255" s="4">
        <v>249148</v>
      </c>
      <c r="O255" s="4">
        <v>892532</v>
      </c>
      <c r="P255" s="206">
        <f t="shared" si="57"/>
        <v>122155</v>
      </c>
      <c r="Q255" s="207">
        <f t="shared" si="63"/>
        <v>7632</v>
      </c>
      <c r="R255" s="79">
        <f t="shared" si="64"/>
        <v>-76</v>
      </c>
      <c r="S255" s="4"/>
      <c r="T255" s="213"/>
      <c r="U255" s="146"/>
      <c r="V255" s="95"/>
      <c r="W255" s="213"/>
    </row>
    <row r="256" spans="1:23" x14ac:dyDescent="0.25">
      <c r="A256" s="158">
        <v>44147</v>
      </c>
      <c r="B256" s="4">
        <v>11163</v>
      </c>
      <c r="C256" s="16">
        <f t="shared" si="60"/>
        <v>1284519</v>
      </c>
      <c r="D256" s="4">
        <v>250</v>
      </c>
      <c r="E256" s="206">
        <f t="shared" si="58"/>
        <v>34777</v>
      </c>
      <c r="F256" s="198">
        <v>1100180</v>
      </c>
      <c r="G256" s="4">
        <v>4397</v>
      </c>
      <c r="H256" s="4">
        <v>31520</v>
      </c>
      <c r="I256" s="206">
        <f t="shared" si="62"/>
        <v>3603559</v>
      </c>
      <c r="J256" s="7">
        <v>2991</v>
      </c>
      <c r="K256" s="7">
        <v>1655824</v>
      </c>
      <c r="L256" s="206">
        <f t="shared" si="56"/>
        <v>1658815</v>
      </c>
      <c r="M256" s="4">
        <v>9553</v>
      </c>
      <c r="N256" s="4">
        <v>251515</v>
      </c>
      <c r="O256" s="4">
        <v>901700</v>
      </c>
      <c r="P256" s="206">
        <f t="shared" si="57"/>
        <v>121751</v>
      </c>
      <c r="Q256" s="207">
        <f t="shared" ref="Q256:Q261" si="65">F256-F255</f>
        <v>10651</v>
      </c>
      <c r="R256" s="79">
        <f t="shared" si="64"/>
        <v>-21</v>
      </c>
      <c r="S256" s="4"/>
      <c r="T256" s="213"/>
      <c r="U256" s="146"/>
      <c r="V256" s="95"/>
      <c r="W256" s="213"/>
    </row>
    <row r="257" spans="1:23" x14ac:dyDescent="0.25">
      <c r="A257" s="158">
        <v>44148</v>
      </c>
      <c r="B257" s="4">
        <v>11859</v>
      </c>
      <c r="C257" s="16">
        <f t="shared" ref="C257:C282" si="66">C256+B257</f>
        <v>1296378</v>
      </c>
      <c r="D257" s="4">
        <v>264</v>
      </c>
      <c r="E257" s="16">
        <f t="shared" ref="E257:E282" si="67">E256+D257</f>
        <v>35041</v>
      </c>
      <c r="F257" s="198">
        <v>1110477</v>
      </c>
      <c r="G257" s="4">
        <v>4381</v>
      </c>
      <c r="H257" s="4">
        <v>31738</v>
      </c>
      <c r="I257" s="16">
        <f t="shared" ref="I257:I264" si="68">I256+H257</f>
        <v>3635297</v>
      </c>
      <c r="J257" s="210">
        <v>3104</v>
      </c>
      <c r="K257" s="210">
        <v>1671421</v>
      </c>
      <c r="L257" s="206">
        <f t="shared" si="56"/>
        <v>1674525</v>
      </c>
      <c r="M257" s="9">
        <v>9613</v>
      </c>
      <c r="N257" s="9">
        <v>253981</v>
      </c>
      <c r="O257" s="9">
        <v>910204</v>
      </c>
      <c r="P257" s="206">
        <f t="shared" si="57"/>
        <v>122580</v>
      </c>
      <c r="Q257" s="207">
        <f t="shared" si="65"/>
        <v>10297</v>
      </c>
      <c r="R257" s="79">
        <f t="shared" si="64"/>
        <v>-16</v>
      </c>
      <c r="S257" s="4"/>
      <c r="T257" s="213"/>
      <c r="U257" s="146"/>
      <c r="V257" s="95"/>
      <c r="W257" s="213"/>
    </row>
    <row r="258" spans="1:23" x14ac:dyDescent="0.25">
      <c r="A258" s="158">
        <v>44149</v>
      </c>
      <c r="B258" s="4">
        <v>8468</v>
      </c>
      <c r="C258" s="16">
        <f t="shared" si="66"/>
        <v>1304846</v>
      </c>
      <c r="D258" s="4">
        <v>262</v>
      </c>
      <c r="E258" s="16">
        <f t="shared" si="67"/>
        <v>35303</v>
      </c>
      <c r="F258" s="198">
        <v>1119366</v>
      </c>
      <c r="G258" s="4">
        <v>4346</v>
      </c>
      <c r="H258" s="4">
        <v>25314</v>
      </c>
      <c r="I258" s="16">
        <f t="shared" si="68"/>
        <v>3660611</v>
      </c>
      <c r="J258" s="9">
        <v>3156</v>
      </c>
      <c r="K258" s="9">
        <v>1683861</v>
      </c>
      <c r="L258" s="206">
        <f t="shared" si="56"/>
        <v>1687017</v>
      </c>
      <c r="M258" s="9">
        <v>9646</v>
      </c>
      <c r="N258" s="9">
        <v>255493</v>
      </c>
      <c r="O258" s="9">
        <v>915339</v>
      </c>
      <c r="P258" s="206">
        <f t="shared" si="57"/>
        <v>124368</v>
      </c>
      <c r="Q258" s="207">
        <f t="shared" si="65"/>
        <v>8889</v>
      </c>
      <c r="R258" s="79">
        <f t="shared" si="64"/>
        <v>-35</v>
      </c>
      <c r="S258" s="4"/>
      <c r="T258" s="213"/>
      <c r="U258" s="146"/>
      <c r="V258" s="95"/>
      <c r="W258" s="213"/>
    </row>
    <row r="259" spans="1:23" x14ac:dyDescent="0.25">
      <c r="A259" s="158">
        <v>44150</v>
      </c>
      <c r="B259" s="16">
        <v>5645</v>
      </c>
      <c r="C259" s="16">
        <f t="shared" si="66"/>
        <v>1310491</v>
      </c>
      <c r="D259" s="4">
        <v>128</v>
      </c>
      <c r="E259" s="16">
        <f t="shared" si="67"/>
        <v>35431</v>
      </c>
      <c r="F259" s="198">
        <v>1129102</v>
      </c>
      <c r="G259" s="4">
        <v>4365</v>
      </c>
      <c r="H259" s="4">
        <v>17718</v>
      </c>
      <c r="I259" s="16">
        <f t="shared" si="68"/>
        <v>3678329</v>
      </c>
      <c r="J259" s="9">
        <v>3168</v>
      </c>
      <c r="K259" s="9">
        <v>1693448</v>
      </c>
      <c r="L259" s="206">
        <f t="shared" si="56"/>
        <v>1696616</v>
      </c>
      <c r="M259" s="9">
        <v>9672</v>
      </c>
      <c r="N259" s="9">
        <v>256696</v>
      </c>
      <c r="O259" s="9">
        <v>918729</v>
      </c>
      <c r="P259" s="206">
        <f t="shared" si="57"/>
        <v>125394</v>
      </c>
      <c r="Q259" s="207">
        <f t="shared" si="65"/>
        <v>9736</v>
      </c>
      <c r="R259" s="79">
        <f t="shared" si="64"/>
        <v>19</v>
      </c>
      <c r="S259" s="4"/>
      <c r="T259" s="220"/>
      <c r="U259" s="146"/>
      <c r="V259" s="95"/>
      <c r="W259" s="213"/>
    </row>
    <row r="260" spans="1:23" x14ac:dyDescent="0.25">
      <c r="A260" s="158">
        <v>44151</v>
      </c>
      <c r="B260" s="4">
        <v>7893</v>
      </c>
      <c r="C260" s="16">
        <f t="shared" si="66"/>
        <v>1318384</v>
      </c>
      <c r="D260" s="4">
        <v>292</v>
      </c>
      <c r="E260" s="16">
        <f t="shared" si="67"/>
        <v>35723</v>
      </c>
      <c r="F260" s="198">
        <v>1140196</v>
      </c>
      <c r="G260" s="4">
        <v>4322</v>
      </c>
      <c r="H260" s="4">
        <v>21572</v>
      </c>
      <c r="I260" s="16">
        <f t="shared" si="68"/>
        <v>3699901</v>
      </c>
      <c r="J260" s="7">
        <v>3225</v>
      </c>
      <c r="K260" s="7">
        <v>1704129</v>
      </c>
      <c r="L260" s="206">
        <f t="shared" si="56"/>
        <v>1707354</v>
      </c>
      <c r="M260" s="4">
        <v>9692</v>
      </c>
      <c r="N260" s="4">
        <v>258870</v>
      </c>
      <c r="O260" s="4">
        <v>926820</v>
      </c>
      <c r="P260" s="206">
        <f t="shared" si="57"/>
        <v>123002</v>
      </c>
      <c r="Q260" s="207">
        <f t="shared" si="65"/>
        <v>11094</v>
      </c>
      <c r="R260" s="79">
        <f t="shared" si="64"/>
        <v>-43</v>
      </c>
      <c r="S260" s="4"/>
      <c r="T260" s="220"/>
      <c r="U260" s="146"/>
      <c r="V260" s="95"/>
      <c r="W260" s="213"/>
    </row>
    <row r="261" spans="1:23" x14ac:dyDescent="0.25">
      <c r="A261" s="158">
        <v>44152</v>
      </c>
      <c r="B261" s="4">
        <v>10621</v>
      </c>
      <c r="C261" s="16">
        <f t="shared" si="66"/>
        <v>1329005</v>
      </c>
      <c r="D261" s="4">
        <v>379</v>
      </c>
      <c r="E261" s="16">
        <f t="shared" si="67"/>
        <v>36102</v>
      </c>
      <c r="F261" s="198">
        <v>1148833</v>
      </c>
      <c r="G261" s="4">
        <v>4379</v>
      </c>
      <c r="H261" s="4">
        <v>34573</v>
      </c>
      <c r="I261" s="16">
        <f t="shared" si="68"/>
        <v>3734474</v>
      </c>
      <c r="J261" s="7">
        <v>3279</v>
      </c>
      <c r="K261" s="7">
        <v>1716729</v>
      </c>
      <c r="L261" s="206">
        <f t="shared" si="56"/>
        <v>1720008</v>
      </c>
      <c r="M261" s="4">
        <v>9722</v>
      </c>
      <c r="N261" s="4">
        <v>261348</v>
      </c>
      <c r="O261" s="4">
        <v>934997</v>
      </c>
      <c r="P261" s="206">
        <f t="shared" si="57"/>
        <v>122938</v>
      </c>
      <c r="Q261" s="207">
        <f t="shared" si="65"/>
        <v>8637</v>
      </c>
      <c r="R261" s="79">
        <f t="shared" si="64"/>
        <v>57</v>
      </c>
      <c r="S261" s="4"/>
      <c r="T261" s="220"/>
      <c r="U261" s="146"/>
      <c r="V261" s="95"/>
      <c r="W261" s="213"/>
    </row>
    <row r="262" spans="1:23" x14ac:dyDescent="0.25">
      <c r="A262" s="158">
        <v>44153</v>
      </c>
      <c r="B262" s="4">
        <v>10332</v>
      </c>
      <c r="C262" s="16">
        <f t="shared" si="66"/>
        <v>1339337</v>
      </c>
      <c r="D262" s="4">
        <v>241</v>
      </c>
      <c r="E262" s="16">
        <f t="shared" si="67"/>
        <v>36343</v>
      </c>
      <c r="F262" s="198">
        <v>1156474</v>
      </c>
      <c r="G262" s="4">
        <v>4267</v>
      </c>
      <c r="H262" s="4">
        <v>34573</v>
      </c>
      <c r="I262" s="16">
        <f t="shared" si="68"/>
        <v>3769047</v>
      </c>
      <c r="J262" s="7">
        <v>3346</v>
      </c>
      <c r="K262" s="7">
        <v>1734731</v>
      </c>
      <c r="L262" s="206">
        <f t="shared" si="56"/>
        <v>1738077</v>
      </c>
      <c r="M262" s="4">
        <v>9766</v>
      </c>
      <c r="N262" s="4">
        <v>264014</v>
      </c>
      <c r="O262" s="4">
        <v>943339</v>
      </c>
      <c r="P262" s="206">
        <f t="shared" si="57"/>
        <v>122218</v>
      </c>
      <c r="Q262" s="207">
        <f t="shared" ref="Q262" si="69">F262-F261</f>
        <v>7641</v>
      </c>
      <c r="R262" s="79">
        <f t="shared" ref="R262" si="70">G262-G261</f>
        <v>-112</v>
      </c>
      <c r="S262" s="4"/>
      <c r="T262" s="220"/>
      <c r="U262" s="146"/>
      <c r="V262" s="95"/>
      <c r="W262" s="213"/>
    </row>
    <row r="263" spans="1:23" x14ac:dyDescent="0.25">
      <c r="A263" s="158">
        <v>44154</v>
      </c>
      <c r="B263" s="4">
        <v>10097</v>
      </c>
      <c r="C263" s="16">
        <f t="shared" si="66"/>
        <v>1349434</v>
      </c>
      <c r="D263" s="4">
        <v>184</v>
      </c>
      <c r="E263" s="16">
        <f t="shared" si="67"/>
        <v>36527</v>
      </c>
      <c r="F263" s="198">
        <v>1167514</v>
      </c>
      <c r="G263" s="4">
        <v>4292</v>
      </c>
      <c r="H263" s="4">
        <v>48691</v>
      </c>
      <c r="I263" s="16">
        <f t="shared" si="68"/>
        <v>3817738</v>
      </c>
      <c r="J263" s="7">
        <v>3474</v>
      </c>
      <c r="K263" s="7">
        <v>1767560</v>
      </c>
      <c r="L263" s="206">
        <f t="shared" si="56"/>
        <v>1771034</v>
      </c>
      <c r="M263" s="4">
        <v>9802</v>
      </c>
      <c r="N263" s="4">
        <v>266642</v>
      </c>
      <c r="O263" s="4">
        <v>951081</v>
      </c>
      <c r="P263" s="206">
        <f t="shared" si="57"/>
        <v>121909</v>
      </c>
      <c r="Q263" s="207">
        <f t="shared" ref="Q263" si="71">F263-F262</f>
        <v>11040</v>
      </c>
      <c r="R263" s="79">
        <f t="shared" ref="R263" si="72">G263-G262</f>
        <v>25</v>
      </c>
      <c r="S263" s="4"/>
      <c r="T263" s="220"/>
      <c r="U263" s="146"/>
      <c r="V263" s="95"/>
      <c r="W263" s="213"/>
    </row>
    <row r="264" spans="1:23" x14ac:dyDescent="0.25">
      <c r="A264" s="158">
        <v>44155</v>
      </c>
      <c r="B264" s="4">
        <v>9608</v>
      </c>
      <c r="C264" s="16">
        <f t="shared" si="66"/>
        <v>1359042</v>
      </c>
      <c r="D264" s="4">
        <v>261</v>
      </c>
      <c r="E264" s="16">
        <f t="shared" si="67"/>
        <v>36788</v>
      </c>
      <c r="F264" s="198">
        <v>1177819</v>
      </c>
      <c r="G264" s="4">
        <v>4187</v>
      </c>
      <c r="H264" s="4">
        <v>37816</v>
      </c>
      <c r="I264" s="16">
        <f t="shared" si="68"/>
        <v>3855554</v>
      </c>
      <c r="J264" s="7">
        <v>3601</v>
      </c>
      <c r="K264" s="7">
        <v>1789964</v>
      </c>
      <c r="L264" s="206">
        <f t="shared" si="56"/>
        <v>1793565</v>
      </c>
      <c r="M264" s="4">
        <v>9840</v>
      </c>
      <c r="N264" s="4">
        <v>268940</v>
      </c>
      <c r="O264" s="4">
        <v>957937</v>
      </c>
      <c r="P264" s="206">
        <f t="shared" si="57"/>
        <v>122325</v>
      </c>
      <c r="Q264" s="207">
        <f t="shared" ref="Q264" si="73">F264-F263</f>
        <v>10305</v>
      </c>
      <c r="R264" s="79">
        <f t="shared" ref="R264" si="74">G264-G263</f>
        <v>-105</v>
      </c>
      <c r="S264" s="4"/>
      <c r="T264" s="220"/>
      <c r="U264" s="146"/>
      <c r="V264" s="95"/>
      <c r="W264" s="213"/>
    </row>
    <row r="265" spans="1:23" x14ac:dyDescent="0.25">
      <c r="A265" s="158">
        <v>44156</v>
      </c>
      <c r="B265" s="4">
        <v>7140</v>
      </c>
      <c r="C265" s="16">
        <f t="shared" si="66"/>
        <v>1366182</v>
      </c>
      <c r="D265" s="4">
        <v>112</v>
      </c>
      <c r="E265" s="16">
        <f t="shared" si="67"/>
        <v>36900</v>
      </c>
      <c r="F265" s="198">
        <v>1187053</v>
      </c>
      <c r="G265" s="4">
        <v>4132</v>
      </c>
      <c r="H265" s="4">
        <v>39055</v>
      </c>
      <c r="I265" s="16">
        <v>3661948</v>
      </c>
      <c r="J265" s="7">
        <v>3625</v>
      </c>
      <c r="K265" s="7">
        <v>1815364</v>
      </c>
      <c r="L265" s="206">
        <f t="shared" si="56"/>
        <v>1818989</v>
      </c>
      <c r="M265" s="4">
        <v>9862</v>
      </c>
      <c r="N265" s="4">
        <v>270149</v>
      </c>
      <c r="O265" s="4">
        <v>962192</v>
      </c>
      <c r="P265" s="206">
        <f t="shared" si="57"/>
        <v>123979</v>
      </c>
      <c r="Q265" s="207">
        <f t="shared" ref="Q265" si="75">F265-F264</f>
        <v>9234</v>
      </c>
      <c r="R265" s="79">
        <f t="shared" ref="R265" si="76">G265-G264</f>
        <v>-55</v>
      </c>
      <c r="S265" s="4"/>
      <c r="T265" s="220"/>
      <c r="U265" s="146"/>
      <c r="V265" s="95"/>
      <c r="W265" s="213"/>
    </row>
    <row r="266" spans="1:23" x14ac:dyDescent="0.25">
      <c r="A266" s="158">
        <v>44157</v>
      </c>
      <c r="B266" s="4">
        <v>4184</v>
      </c>
      <c r="C266" s="16">
        <f t="shared" si="66"/>
        <v>1370366</v>
      </c>
      <c r="D266" s="4">
        <v>100</v>
      </c>
      <c r="E266" s="16">
        <f t="shared" si="67"/>
        <v>37000</v>
      </c>
      <c r="F266" s="198">
        <v>1195492</v>
      </c>
      <c r="G266" s="4">
        <v>4245</v>
      </c>
      <c r="H266" s="4">
        <v>15740</v>
      </c>
      <c r="I266" s="4">
        <v>3677688</v>
      </c>
      <c r="J266" s="7">
        <v>3691</v>
      </c>
      <c r="K266" s="7">
        <v>1823849</v>
      </c>
      <c r="L266" s="206">
        <f t="shared" si="56"/>
        <v>1827540</v>
      </c>
      <c r="M266" s="4">
        <v>9876</v>
      </c>
      <c r="N266" s="4">
        <v>270893</v>
      </c>
      <c r="O266" s="4">
        <v>965274</v>
      </c>
      <c r="P266" s="206">
        <f t="shared" si="57"/>
        <v>124323</v>
      </c>
      <c r="Q266" s="207">
        <f t="shared" ref="Q266" si="77">F266-F265</f>
        <v>8439</v>
      </c>
      <c r="R266" s="79">
        <f t="shared" ref="R266" si="78">G266-G265</f>
        <v>113</v>
      </c>
      <c r="S266" s="4"/>
      <c r="T266" s="220"/>
      <c r="U266" s="146"/>
      <c r="V266" s="95"/>
      <c r="W266" s="213"/>
    </row>
    <row r="267" spans="1:23" x14ac:dyDescent="0.25">
      <c r="A267" s="158">
        <v>44158</v>
      </c>
      <c r="B267" s="4">
        <v>4265</v>
      </c>
      <c r="C267" s="16">
        <f t="shared" si="66"/>
        <v>1374631</v>
      </c>
      <c r="D267" s="4">
        <v>119</v>
      </c>
      <c r="E267" s="16">
        <f t="shared" si="67"/>
        <v>37119</v>
      </c>
      <c r="F267" s="198">
        <v>1203800</v>
      </c>
      <c r="G267" s="4">
        <v>4165</v>
      </c>
      <c r="H267" s="4">
        <v>13149</v>
      </c>
      <c r="I267" s="4">
        <f t="shared" ref="I267:I282" si="79">I266+H267</f>
        <v>3690837</v>
      </c>
      <c r="J267" s="7">
        <v>3798</v>
      </c>
      <c r="K267" s="7">
        <v>1830584</v>
      </c>
      <c r="L267" s="206">
        <f t="shared" si="56"/>
        <v>1834382</v>
      </c>
      <c r="M267" s="4">
        <v>9894</v>
      </c>
      <c r="N267" s="4">
        <v>272054</v>
      </c>
      <c r="O267" s="4">
        <v>972396</v>
      </c>
      <c r="P267" s="206">
        <f t="shared" si="57"/>
        <v>120287</v>
      </c>
      <c r="Q267" s="207">
        <f t="shared" ref="Q267" si="80">F267-F266</f>
        <v>8308</v>
      </c>
      <c r="R267" s="79">
        <f t="shared" ref="R267" si="81">G267-G266</f>
        <v>-80</v>
      </c>
      <c r="S267" s="4"/>
      <c r="T267" s="220"/>
      <c r="U267" s="146"/>
      <c r="V267" s="95"/>
      <c r="W267" s="213"/>
    </row>
    <row r="268" spans="1:23" x14ac:dyDescent="0.25">
      <c r="A268" s="158">
        <v>44159</v>
      </c>
      <c r="B268" s="4">
        <v>7164</v>
      </c>
      <c r="C268" s="16">
        <f t="shared" si="66"/>
        <v>1381795</v>
      </c>
      <c r="D268" s="4">
        <v>311</v>
      </c>
      <c r="E268" s="16">
        <f t="shared" si="67"/>
        <v>37430</v>
      </c>
      <c r="F268" s="198">
        <v>1210634</v>
      </c>
      <c r="G268" s="4">
        <v>4148</v>
      </c>
      <c r="H268" s="4">
        <v>22043</v>
      </c>
      <c r="I268" s="4">
        <f t="shared" si="79"/>
        <v>3712880</v>
      </c>
      <c r="J268" s="9">
        <v>3828</v>
      </c>
      <c r="K268" s="9">
        <v>1842058</v>
      </c>
      <c r="L268" s="206">
        <f t="shared" si="56"/>
        <v>1845886</v>
      </c>
      <c r="M268" s="4">
        <v>9912</v>
      </c>
      <c r="N268" s="4">
        <v>273939</v>
      </c>
      <c r="O268" s="4">
        <v>979797</v>
      </c>
      <c r="P268" s="206">
        <f t="shared" si="57"/>
        <v>118147</v>
      </c>
      <c r="Q268" s="207">
        <f t="shared" ref="Q268" si="82">F268-F267</f>
        <v>6834</v>
      </c>
      <c r="R268" s="79">
        <f t="shared" ref="R268" si="83">G268-G267</f>
        <v>-17</v>
      </c>
      <c r="S268" s="4"/>
      <c r="T268" s="220"/>
      <c r="U268" s="146"/>
      <c r="V268" s="95"/>
      <c r="W268" s="213"/>
    </row>
    <row r="269" spans="1:23" x14ac:dyDescent="0.25">
      <c r="A269" s="158">
        <v>44160</v>
      </c>
      <c r="B269" s="4">
        <v>8593</v>
      </c>
      <c r="C269" s="16">
        <f t="shared" si="66"/>
        <v>1390388</v>
      </c>
      <c r="D269" s="4">
        <v>280</v>
      </c>
      <c r="E269" s="16">
        <f t="shared" si="67"/>
        <v>37710</v>
      </c>
      <c r="F269" s="198">
        <v>1217284</v>
      </c>
      <c r="G269" s="4">
        <v>4039</v>
      </c>
      <c r="H269" s="4">
        <v>29437</v>
      </c>
      <c r="I269" s="4">
        <f t="shared" si="79"/>
        <v>3742317</v>
      </c>
      <c r="J269" s="9">
        <v>3872</v>
      </c>
      <c r="K269" s="9">
        <v>1855809</v>
      </c>
      <c r="L269" s="206">
        <f t="shared" si="56"/>
        <v>1859681</v>
      </c>
      <c r="M269" s="4">
        <v>9949</v>
      </c>
      <c r="N269" s="4">
        <v>275968</v>
      </c>
      <c r="O269" s="4">
        <v>986401</v>
      </c>
      <c r="P269" s="206">
        <f t="shared" si="57"/>
        <v>118070</v>
      </c>
      <c r="Q269" s="207">
        <f t="shared" ref="Q269" si="84">F269-F268</f>
        <v>6650</v>
      </c>
      <c r="R269" s="79">
        <f t="shared" ref="R269" si="85">G269-G268</f>
        <v>-109</v>
      </c>
      <c r="S269" s="4"/>
      <c r="T269" s="220"/>
      <c r="U269" s="146"/>
      <c r="V269" s="95"/>
      <c r="W269" s="213"/>
    </row>
    <row r="270" spans="1:23" x14ac:dyDescent="0.25">
      <c r="A270" s="158">
        <v>44161</v>
      </c>
      <c r="B270" s="4">
        <v>9043</v>
      </c>
      <c r="C270" s="16">
        <f t="shared" si="66"/>
        <v>1399431</v>
      </c>
      <c r="D270" s="4">
        <v>229</v>
      </c>
      <c r="E270" s="16">
        <f t="shared" si="67"/>
        <v>37939</v>
      </c>
      <c r="F270" s="198">
        <v>1226662</v>
      </c>
      <c r="G270" s="4">
        <v>3960</v>
      </c>
      <c r="H270" s="4">
        <v>32781</v>
      </c>
      <c r="I270" s="4">
        <f t="shared" si="79"/>
        <v>3775098</v>
      </c>
      <c r="J270" s="9">
        <v>3941</v>
      </c>
      <c r="K270" s="9">
        <v>1871509</v>
      </c>
      <c r="L270" s="206">
        <f t="shared" si="56"/>
        <v>1875450</v>
      </c>
      <c r="M270" s="4">
        <v>9979</v>
      </c>
      <c r="N270" s="4">
        <v>278371</v>
      </c>
      <c r="O270" s="4">
        <v>992925</v>
      </c>
      <c r="P270" s="206">
        <f t="shared" si="57"/>
        <v>118156</v>
      </c>
      <c r="Q270" s="207">
        <f t="shared" ref="Q270" si="86">F270-F269</f>
        <v>9378</v>
      </c>
      <c r="R270" s="79">
        <f t="shared" ref="R270" si="87">G270-G269</f>
        <v>-79</v>
      </c>
      <c r="S270" s="4"/>
      <c r="T270" s="220"/>
      <c r="U270" s="146"/>
      <c r="V270" s="95"/>
      <c r="W270" s="213"/>
    </row>
    <row r="271" spans="1:23" x14ac:dyDescent="0.25">
      <c r="A271" s="158">
        <v>44162</v>
      </c>
      <c r="B271" s="4">
        <v>7846</v>
      </c>
      <c r="C271" s="16">
        <f t="shared" si="66"/>
        <v>1407277</v>
      </c>
      <c r="D271" s="4">
        <v>275</v>
      </c>
      <c r="E271" s="16">
        <f t="shared" si="67"/>
        <v>38214</v>
      </c>
      <c r="F271" s="198">
        <v>1235257</v>
      </c>
      <c r="G271" s="4">
        <v>4120</v>
      </c>
      <c r="H271" s="4">
        <v>55323</v>
      </c>
      <c r="I271" s="4">
        <f t="shared" si="79"/>
        <v>3830421</v>
      </c>
      <c r="J271" s="7">
        <v>4020</v>
      </c>
      <c r="K271" s="9">
        <v>1912056</v>
      </c>
      <c r="L271" s="206">
        <f t="shared" si="56"/>
        <v>1916076</v>
      </c>
      <c r="M271" s="4">
        <v>10016</v>
      </c>
      <c r="N271" s="4">
        <v>280344</v>
      </c>
      <c r="O271" s="4">
        <v>999456</v>
      </c>
      <c r="P271" s="206">
        <f t="shared" si="57"/>
        <v>117461</v>
      </c>
      <c r="Q271" s="207">
        <f t="shared" ref="Q271" si="88">F271-F270</f>
        <v>8595</v>
      </c>
      <c r="R271" s="79">
        <f t="shared" ref="R271" si="89">G271-G270</f>
        <v>160</v>
      </c>
      <c r="S271" s="4"/>
      <c r="T271" s="220"/>
      <c r="U271" s="146"/>
      <c r="V271" s="95"/>
      <c r="W271" s="213"/>
    </row>
    <row r="272" spans="1:23" x14ac:dyDescent="0.25">
      <c r="A272" s="247">
        <v>44163</v>
      </c>
      <c r="B272" s="4">
        <v>6098</v>
      </c>
      <c r="C272" s="16">
        <f t="shared" si="66"/>
        <v>1413375</v>
      </c>
      <c r="D272" s="4">
        <v>106</v>
      </c>
      <c r="E272" s="16">
        <f t="shared" si="67"/>
        <v>38320</v>
      </c>
      <c r="F272" s="198">
        <v>1242877</v>
      </c>
      <c r="G272" s="4">
        <v>4021</v>
      </c>
      <c r="H272" s="4">
        <v>25472</v>
      </c>
      <c r="I272" s="4">
        <f t="shared" si="79"/>
        <v>3855893</v>
      </c>
      <c r="J272" s="7">
        <v>4105</v>
      </c>
      <c r="K272" s="9">
        <v>1926130</v>
      </c>
      <c r="L272" s="206">
        <f t="shared" si="56"/>
        <v>1930235</v>
      </c>
      <c r="M272" s="4">
        <v>10046</v>
      </c>
      <c r="N272" s="4">
        <v>281257</v>
      </c>
      <c r="O272" s="4">
        <v>1003512</v>
      </c>
      <c r="P272" s="206">
        <f t="shared" si="57"/>
        <v>118560</v>
      </c>
      <c r="Q272" s="207">
        <f t="shared" ref="Q272" si="90">F272-F271</f>
        <v>7620</v>
      </c>
      <c r="R272" s="79">
        <f t="shared" ref="R272" si="91">G272-G271</f>
        <v>-99</v>
      </c>
      <c r="S272" s="4"/>
      <c r="T272" s="220"/>
      <c r="U272" s="146"/>
      <c r="V272" s="95"/>
      <c r="W272" s="213"/>
    </row>
    <row r="273" spans="1:24" x14ac:dyDescent="0.25">
      <c r="A273" s="247">
        <v>44164</v>
      </c>
      <c r="B273" s="4">
        <v>5432</v>
      </c>
      <c r="C273" s="16">
        <f t="shared" si="66"/>
        <v>1418807</v>
      </c>
      <c r="D273" s="16">
        <v>151</v>
      </c>
      <c r="E273" s="16">
        <f t="shared" si="67"/>
        <v>38471</v>
      </c>
      <c r="F273" s="198">
        <v>1249843</v>
      </c>
      <c r="G273" s="4">
        <v>4013</v>
      </c>
      <c r="H273" s="4">
        <v>17338</v>
      </c>
      <c r="I273" s="4">
        <f t="shared" si="79"/>
        <v>3873231</v>
      </c>
      <c r="J273" s="7">
        <v>4139</v>
      </c>
      <c r="K273" s="7">
        <v>1935553</v>
      </c>
      <c r="L273" s="206">
        <f t="shared" si="56"/>
        <v>1939692</v>
      </c>
      <c r="M273" s="4">
        <v>10067</v>
      </c>
      <c r="N273" s="4">
        <v>281995</v>
      </c>
      <c r="O273" s="4">
        <v>1006055</v>
      </c>
      <c r="P273" s="206">
        <f t="shared" si="57"/>
        <v>120690</v>
      </c>
      <c r="Q273" s="207">
        <f t="shared" ref="Q273" si="92">F273-F272</f>
        <v>6966</v>
      </c>
      <c r="R273" s="79">
        <f t="shared" ref="R273" si="93">G273-G272</f>
        <v>-8</v>
      </c>
      <c r="S273" s="4"/>
      <c r="T273" s="220"/>
      <c r="U273" s="146"/>
      <c r="V273" s="95"/>
      <c r="W273" s="213"/>
    </row>
    <row r="274" spans="1:24" x14ac:dyDescent="0.25">
      <c r="A274" s="158">
        <v>44165</v>
      </c>
      <c r="B274" s="4">
        <v>5726</v>
      </c>
      <c r="C274" s="16">
        <f t="shared" si="66"/>
        <v>1424533</v>
      </c>
      <c r="D274" s="4">
        <v>257</v>
      </c>
      <c r="E274" s="16">
        <f t="shared" si="67"/>
        <v>38728</v>
      </c>
      <c r="F274" s="198">
        <v>1257227</v>
      </c>
      <c r="G274" s="4">
        <v>4062</v>
      </c>
      <c r="H274" s="4">
        <v>19291</v>
      </c>
      <c r="I274" s="4">
        <f t="shared" si="79"/>
        <v>3892522</v>
      </c>
      <c r="J274" s="7">
        <v>4209</v>
      </c>
      <c r="K274" s="7">
        <v>1945524</v>
      </c>
      <c r="L274" s="206">
        <f t="shared" si="56"/>
        <v>1949733</v>
      </c>
      <c r="M274" s="4">
        <v>10089</v>
      </c>
      <c r="N274" s="4">
        <v>283567</v>
      </c>
      <c r="O274" s="4">
        <v>1009382</v>
      </c>
      <c r="P274" s="206">
        <f t="shared" si="57"/>
        <v>121495</v>
      </c>
      <c r="Q274" s="207">
        <f t="shared" ref="Q274" si="94">F274-F273</f>
        <v>7384</v>
      </c>
      <c r="R274" s="79">
        <f t="shared" ref="R274" si="95">G274-G273</f>
        <v>49</v>
      </c>
      <c r="S274" s="4"/>
      <c r="T274" s="220"/>
      <c r="U274" s="146"/>
      <c r="V274" s="95"/>
      <c r="W274" s="213"/>
    </row>
    <row r="275" spans="1:24" x14ac:dyDescent="0.25">
      <c r="A275" s="158">
        <v>44166</v>
      </c>
      <c r="B275" s="4">
        <v>8037</v>
      </c>
      <c r="C275" s="16">
        <f t="shared" si="66"/>
        <v>1432570</v>
      </c>
      <c r="D275" s="4">
        <v>198</v>
      </c>
      <c r="E275" s="16">
        <f t="shared" si="67"/>
        <v>38926</v>
      </c>
      <c r="F275" s="198">
        <v>1263251</v>
      </c>
      <c r="G275" s="4">
        <v>3946</v>
      </c>
      <c r="H275" s="4">
        <v>33764</v>
      </c>
      <c r="I275" s="4">
        <f t="shared" si="79"/>
        <v>3926286</v>
      </c>
      <c r="J275" s="7">
        <v>4328</v>
      </c>
      <c r="K275" s="7">
        <v>1964346</v>
      </c>
      <c r="L275" s="206">
        <f t="shared" si="56"/>
        <v>1968674</v>
      </c>
      <c r="M275" s="4">
        <v>10120</v>
      </c>
      <c r="N275" s="4">
        <v>285518</v>
      </c>
      <c r="O275" s="4">
        <v>1015923</v>
      </c>
      <c r="P275" s="206">
        <f t="shared" si="57"/>
        <v>121009</v>
      </c>
      <c r="Q275" s="207">
        <f t="shared" ref="Q275" si="96">F275-F274</f>
        <v>6024</v>
      </c>
      <c r="R275" s="79">
        <f t="shared" ref="R275" si="97">G275-G274</f>
        <v>-116</v>
      </c>
      <c r="S275" s="4"/>
      <c r="T275" s="220"/>
      <c r="U275" s="146"/>
      <c r="V275" s="95"/>
      <c r="W275" s="213"/>
    </row>
    <row r="276" spans="1:24" x14ac:dyDescent="0.25">
      <c r="A276" s="158">
        <v>44167</v>
      </c>
      <c r="B276" s="152">
        <v>7533</v>
      </c>
      <c r="C276" s="214">
        <f t="shared" si="66"/>
        <v>1440103</v>
      </c>
      <c r="D276" s="152">
        <v>228</v>
      </c>
      <c r="E276" s="214">
        <f t="shared" si="67"/>
        <v>39154</v>
      </c>
      <c r="F276" s="198">
        <v>1268358</v>
      </c>
      <c r="G276" s="152">
        <v>3983</v>
      </c>
      <c r="H276" s="152">
        <v>49474</v>
      </c>
      <c r="I276" s="152">
        <f t="shared" si="79"/>
        <v>3975760</v>
      </c>
      <c r="J276" s="215">
        <v>4476</v>
      </c>
      <c r="K276" s="215">
        <v>2000098</v>
      </c>
      <c r="L276" s="216">
        <f t="shared" si="56"/>
        <v>2004574</v>
      </c>
      <c r="M276" s="152">
        <v>10155</v>
      </c>
      <c r="N276" s="152">
        <v>287233</v>
      </c>
      <c r="O276" s="152">
        <v>1022204</v>
      </c>
      <c r="P276" s="216">
        <f t="shared" si="57"/>
        <v>120511</v>
      </c>
      <c r="Q276" s="216">
        <f t="shared" ref="Q276" si="98">F276-F275</f>
        <v>5107</v>
      </c>
      <c r="R276" s="217">
        <f t="shared" ref="R276" si="99">G276-G275</f>
        <v>37</v>
      </c>
      <c r="S276" s="4"/>
      <c r="T276" s="220"/>
      <c r="U276" s="146"/>
      <c r="V276" s="95"/>
      <c r="W276" s="213"/>
    </row>
    <row r="277" spans="1:24" x14ac:dyDescent="0.25">
      <c r="A277" s="158">
        <v>44168</v>
      </c>
      <c r="B277" s="152">
        <v>7629</v>
      </c>
      <c r="C277" s="214">
        <f t="shared" si="66"/>
        <v>1447732</v>
      </c>
      <c r="D277" s="152">
        <v>148</v>
      </c>
      <c r="E277" s="214">
        <f t="shared" si="67"/>
        <v>39302</v>
      </c>
      <c r="F277" s="198">
        <v>1274675</v>
      </c>
      <c r="G277" s="152">
        <v>3916</v>
      </c>
      <c r="H277" s="152">
        <v>47112</v>
      </c>
      <c r="I277" s="152">
        <f t="shared" si="79"/>
        <v>4022872</v>
      </c>
      <c r="J277" s="215">
        <v>4554</v>
      </c>
      <c r="K277" s="215">
        <v>2033435</v>
      </c>
      <c r="L277" s="216">
        <f t="shared" si="56"/>
        <v>2037989</v>
      </c>
      <c r="M277" s="152">
        <v>10186</v>
      </c>
      <c r="N277" s="152">
        <v>288999</v>
      </c>
      <c r="O277" s="152">
        <v>1028077</v>
      </c>
      <c r="P277" s="216">
        <f t="shared" si="57"/>
        <v>120470</v>
      </c>
      <c r="Q277" s="216">
        <f t="shared" ref="Q277" si="100">F277-F276</f>
        <v>6317</v>
      </c>
      <c r="R277" s="217">
        <f t="shared" ref="R277" si="101">G277-G276</f>
        <v>-67</v>
      </c>
      <c r="S277" s="4"/>
      <c r="T277" s="220"/>
      <c r="U277" s="146"/>
      <c r="V277" s="95"/>
      <c r="W277" s="213"/>
    </row>
    <row r="278" spans="1:24" x14ac:dyDescent="0.25">
      <c r="A278" s="158">
        <v>44169</v>
      </c>
      <c r="B278" s="152">
        <v>6899</v>
      </c>
      <c r="C278" s="214">
        <f t="shared" si="66"/>
        <v>1454631</v>
      </c>
      <c r="D278" s="152">
        <f>209</f>
        <v>209</v>
      </c>
      <c r="E278" s="214">
        <f t="shared" si="67"/>
        <v>39511</v>
      </c>
      <c r="F278" s="198">
        <v>1281955</v>
      </c>
      <c r="G278" s="152">
        <v>3929</v>
      </c>
      <c r="H278" s="152">
        <v>32923</v>
      </c>
      <c r="I278" s="152">
        <f t="shared" si="79"/>
        <v>4055795</v>
      </c>
      <c r="J278" s="215">
        <v>4609</v>
      </c>
      <c r="K278" s="215">
        <v>2054205</v>
      </c>
      <c r="L278" s="216">
        <f t="shared" si="56"/>
        <v>2058814</v>
      </c>
      <c r="M278" s="152">
        <v>10211</v>
      </c>
      <c r="N278" s="152">
        <v>290538</v>
      </c>
      <c r="O278" s="152">
        <v>1033772</v>
      </c>
      <c r="P278" s="216">
        <f t="shared" si="57"/>
        <v>120110</v>
      </c>
      <c r="Q278" s="216">
        <f t="shared" ref="Q278" si="102">F278-F277</f>
        <v>7280</v>
      </c>
      <c r="R278" s="217">
        <f t="shared" ref="R278" si="103">G278-G277</f>
        <v>13</v>
      </c>
      <c r="S278" s="16">
        <f t="shared" ref="S278:S280" si="104">(C278-F278-E278)-(C277-E277-F277)</f>
        <v>-590</v>
      </c>
      <c r="T278" s="220"/>
      <c r="U278" s="146"/>
      <c r="V278" s="95"/>
      <c r="W278" s="213"/>
    </row>
    <row r="279" spans="1:24" x14ac:dyDescent="0.25">
      <c r="A279" s="158">
        <v>44170</v>
      </c>
      <c r="B279" s="152">
        <v>5201</v>
      </c>
      <c r="C279" s="214">
        <f t="shared" si="66"/>
        <v>1459832</v>
      </c>
      <c r="D279" s="152">
        <v>121</v>
      </c>
      <c r="E279" s="214">
        <f t="shared" si="67"/>
        <v>39632</v>
      </c>
      <c r="F279" s="198">
        <v>1288785</v>
      </c>
      <c r="G279" s="152">
        <v>3757</v>
      </c>
      <c r="H279" s="152">
        <v>28567</v>
      </c>
      <c r="I279" s="152">
        <f t="shared" si="79"/>
        <v>4084362</v>
      </c>
      <c r="J279" s="215">
        <v>4687</v>
      </c>
      <c r="K279" s="215">
        <v>2072109</v>
      </c>
      <c r="L279" s="216">
        <f t="shared" si="56"/>
        <v>2076796</v>
      </c>
      <c r="M279" s="152">
        <v>10228</v>
      </c>
      <c r="N279" s="152">
        <v>291315</v>
      </c>
      <c r="O279" s="152">
        <v>1037782</v>
      </c>
      <c r="P279" s="216">
        <f t="shared" si="57"/>
        <v>120507</v>
      </c>
      <c r="Q279" s="216">
        <f t="shared" ref="Q279" si="105">F279-F278</f>
        <v>6830</v>
      </c>
      <c r="R279" s="217">
        <f t="shared" ref="R279" si="106">G279-G278</f>
        <v>-172</v>
      </c>
      <c r="S279" s="16">
        <f t="shared" si="104"/>
        <v>-1750</v>
      </c>
      <c r="T279" s="220"/>
      <c r="U279" s="146"/>
      <c r="V279" s="95"/>
      <c r="W279" s="213"/>
    </row>
    <row r="280" spans="1:24" x14ac:dyDescent="0.25">
      <c r="A280" s="247">
        <v>44171</v>
      </c>
      <c r="B280" s="152">
        <v>3278</v>
      </c>
      <c r="C280" s="214">
        <f t="shared" si="66"/>
        <v>1463110</v>
      </c>
      <c r="D280" s="152">
        <v>138</v>
      </c>
      <c r="E280" s="214">
        <f t="shared" si="67"/>
        <v>39770</v>
      </c>
      <c r="F280" s="198">
        <v>1294692</v>
      </c>
      <c r="G280" s="152">
        <v>3735</v>
      </c>
      <c r="H280" s="152">
        <v>16826</v>
      </c>
      <c r="I280" s="152">
        <f t="shared" si="79"/>
        <v>4101188</v>
      </c>
      <c r="J280" s="215">
        <v>4696</v>
      </c>
      <c r="K280" s="215">
        <v>2083087</v>
      </c>
      <c r="L280" s="216">
        <f t="shared" si="56"/>
        <v>2087783</v>
      </c>
      <c r="M280" s="152">
        <v>10245</v>
      </c>
      <c r="N280" s="152">
        <v>291769</v>
      </c>
      <c r="O280" s="152">
        <v>1041718</v>
      </c>
      <c r="P280" s="216">
        <f t="shared" si="57"/>
        <v>119378</v>
      </c>
      <c r="Q280" s="216">
        <f t="shared" ref="Q280" si="107">F280-F279</f>
        <v>5907</v>
      </c>
      <c r="R280" s="217">
        <f t="shared" ref="R280:R281" si="108">G280-G279</f>
        <v>-22</v>
      </c>
      <c r="S280" s="16">
        <f t="shared" si="104"/>
        <v>-2767</v>
      </c>
      <c r="T280" s="220"/>
      <c r="U280" s="146"/>
      <c r="V280" s="95"/>
      <c r="W280" s="213"/>
    </row>
    <row r="281" spans="1:24" x14ac:dyDescent="0.25">
      <c r="A281" s="247">
        <v>44172</v>
      </c>
      <c r="B281" s="4">
        <v>3119</v>
      </c>
      <c r="C281" s="16">
        <f t="shared" si="66"/>
        <v>1466229</v>
      </c>
      <c r="D281" s="4">
        <v>118</v>
      </c>
      <c r="E281" s="16">
        <f t="shared" si="67"/>
        <v>39888</v>
      </c>
      <c r="F281" s="198">
        <v>1300696</v>
      </c>
      <c r="G281" s="4">
        <v>3723</v>
      </c>
      <c r="H281" s="4">
        <v>9951</v>
      </c>
      <c r="I281" s="4">
        <f t="shared" si="79"/>
        <v>4111139</v>
      </c>
      <c r="J281" s="7">
        <v>4703</v>
      </c>
      <c r="K281" s="7">
        <v>2088287</v>
      </c>
      <c r="L281" s="216">
        <f t="shared" si="56"/>
        <v>2092990</v>
      </c>
      <c r="M281" s="4">
        <v>10262</v>
      </c>
      <c r="N281" s="4">
        <v>292290</v>
      </c>
      <c r="O281" s="4">
        <v>1047405</v>
      </c>
      <c r="P281" s="216">
        <f t="shared" si="57"/>
        <v>116272</v>
      </c>
      <c r="Q281" s="216">
        <f t="shared" ref="Q281" si="109">F281-F280</f>
        <v>6004</v>
      </c>
      <c r="R281" s="217">
        <f t="shared" si="108"/>
        <v>-12</v>
      </c>
      <c r="S281" s="16">
        <f>(C281-F281-E281)-(C280-E280-F280)</f>
        <v>-3003</v>
      </c>
      <c r="T281" s="220"/>
      <c r="U281" s="146"/>
      <c r="V281" s="95"/>
      <c r="W281" s="213"/>
    </row>
    <row r="282" spans="1:24" x14ac:dyDescent="0.25">
      <c r="A282" s="247">
        <v>44173</v>
      </c>
      <c r="B282" s="4">
        <v>3610</v>
      </c>
      <c r="C282" s="16">
        <f t="shared" si="66"/>
        <v>1469839</v>
      </c>
      <c r="D282" s="4">
        <v>121</v>
      </c>
      <c r="E282" s="16">
        <f t="shared" si="67"/>
        <v>40009</v>
      </c>
      <c r="F282" s="198">
        <v>1305587</v>
      </c>
      <c r="G282" s="4">
        <v>3715</v>
      </c>
      <c r="H282" s="4">
        <v>13302</v>
      </c>
      <c r="I282" s="4">
        <f t="shared" si="79"/>
        <v>4124441</v>
      </c>
      <c r="J282" s="7"/>
      <c r="K282" s="7"/>
      <c r="L282" s="4"/>
      <c r="M282" s="4"/>
      <c r="N282" s="4"/>
      <c r="O282" s="4"/>
      <c r="P282" s="4"/>
      <c r="Q282" s="216">
        <f>F282-F281</f>
        <v>4891</v>
      </c>
      <c r="R282" s="217">
        <f t="shared" ref="R282" si="110">G282-G281</f>
        <v>-8</v>
      </c>
      <c r="S282" s="16">
        <f>(C282-F282-E282)-(C281-E281-F281)</f>
        <v>-1402</v>
      </c>
      <c r="T282" s="220"/>
      <c r="U282" s="146"/>
      <c r="W282" s="213"/>
    </row>
    <row r="283" spans="1:24" x14ac:dyDescent="0.25">
      <c r="A283" s="247">
        <v>44174</v>
      </c>
      <c r="B283" s="95">
        <v>5303</v>
      </c>
      <c r="C283" s="213">
        <f>C282+B283</f>
        <v>1475142</v>
      </c>
      <c r="D283" s="95">
        <v>213</v>
      </c>
      <c r="E283" s="213">
        <f>E282+D283</f>
        <v>40222</v>
      </c>
      <c r="F283" s="83">
        <v>1311488</v>
      </c>
      <c r="G283" s="95">
        <v>3688</v>
      </c>
      <c r="H283" s="95">
        <v>20785</v>
      </c>
      <c r="I283" s="95">
        <f>I282+H283</f>
        <v>4145226</v>
      </c>
      <c r="Q283" s="216">
        <f>F283-F282</f>
        <v>5901</v>
      </c>
      <c r="R283" s="217">
        <f t="shared" ref="R283" si="111">G283-G282</f>
        <v>-27</v>
      </c>
      <c r="S283" s="16">
        <f>(C283-F283-E283)-(C282-E282-F282)</f>
        <v>-811</v>
      </c>
      <c r="W283" s="74"/>
    </row>
    <row r="284" spans="1:24" x14ac:dyDescent="0.25">
      <c r="W284" s="74"/>
    </row>
    <row r="285" spans="1:24" x14ac:dyDescent="0.25">
      <c r="V285" s="95"/>
      <c r="W285" s="74"/>
      <c r="X285" s="95"/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6769"/>
  <sheetViews>
    <sheetView tabSelected="1" zoomScale="85" zoomScaleNormal="85" workbookViewId="0">
      <pane ySplit="1" topLeftCell="A6747" activePane="bottomLeft" state="frozen"/>
      <selection activeCell="D2374" sqref="A1:D2374"/>
      <selection pane="bottomLeft" activeCell="C6770" sqref="C6770"/>
    </sheetView>
  </sheetViews>
  <sheetFormatPr baseColWidth="10" defaultRowHeight="15" x14ac:dyDescent="0.25"/>
  <cols>
    <col min="1" max="1" width="17.42578125" style="61" customWidth="1"/>
    <col min="2" max="2" width="11" style="4" customWidth="1"/>
    <col min="3" max="3" width="8.42578125" style="4" customWidth="1"/>
    <col min="4" max="4" width="11.42578125" style="29" customWidth="1"/>
    <col min="5" max="5" width="6.42578125" style="4" customWidth="1"/>
    <col min="6" max="6" width="11.7109375" style="135" customWidth="1"/>
    <col min="7" max="7" width="5.5703125" customWidth="1"/>
    <col min="8" max="8" width="4.28515625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140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>C5496+D5472</f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2">C5497+D5473</f>
        <v>33965</v>
      </c>
      <c r="E5497" s="47"/>
      <c r="F5497" s="139">
        <f>E5497+F5473</f>
        <v>454</v>
      </c>
    </row>
    <row r="5498" spans="1:6" x14ac:dyDescent="0.25">
      <c r="A5498" s="170" t="s">
        <v>22</v>
      </c>
      <c r="B5498" s="171">
        <v>44122</v>
      </c>
      <c r="C5498" s="172">
        <v>2383</v>
      </c>
      <c r="D5498" s="144">
        <f t="shared" si="502"/>
        <v>498224</v>
      </c>
      <c r="E5498" s="172">
        <f>8+7</f>
        <v>15</v>
      </c>
      <c r="F5498" s="173">
        <f t="shared" ref="F5498:F5519" si="503">E5498+F5474</f>
        <v>15832</v>
      </c>
    </row>
    <row r="5499" spans="1:6" x14ac:dyDescent="0.25">
      <c r="A5499" s="174" t="s">
        <v>20</v>
      </c>
      <c r="B5499" s="136">
        <v>44122</v>
      </c>
      <c r="C5499" s="4">
        <v>517</v>
      </c>
      <c r="D5499" s="29">
        <f t="shared" si="502"/>
        <v>139970</v>
      </c>
      <c r="E5499" s="4">
        <f>18+20</f>
        <v>38</v>
      </c>
      <c r="F5499" s="175">
        <f t="shared" si="503"/>
        <v>4250</v>
      </c>
    </row>
    <row r="5500" spans="1:6" x14ac:dyDescent="0.25">
      <c r="A5500" s="174" t="s">
        <v>35</v>
      </c>
      <c r="B5500" s="136">
        <v>44122</v>
      </c>
      <c r="C5500" s="4">
        <v>27</v>
      </c>
      <c r="D5500" s="29">
        <f t="shared" si="502"/>
        <v>480</v>
      </c>
      <c r="F5500" s="175">
        <f t="shared" si="503"/>
        <v>0</v>
      </c>
    </row>
    <row r="5501" spans="1:6" x14ac:dyDescent="0.25">
      <c r="A5501" s="174" t="s">
        <v>21</v>
      </c>
      <c r="B5501" s="136">
        <v>44122</v>
      </c>
      <c r="C5501" s="4">
        <v>232</v>
      </c>
      <c r="D5501" s="29">
        <f t="shared" si="502"/>
        <v>11663</v>
      </c>
      <c r="E5501" s="4">
        <f>1+2</f>
        <v>3</v>
      </c>
      <c r="F5501" s="175">
        <f t="shared" si="503"/>
        <v>359</v>
      </c>
    </row>
    <row r="5502" spans="1:6" x14ac:dyDescent="0.25">
      <c r="A5502" s="174" t="s">
        <v>36</v>
      </c>
      <c r="B5502" s="136">
        <v>44122</v>
      </c>
      <c r="C5502" s="4">
        <v>150</v>
      </c>
      <c r="D5502" s="29">
        <f t="shared" si="502"/>
        <v>9042</v>
      </c>
      <c r="E5502" s="4">
        <f>5+4</f>
        <v>9</v>
      </c>
      <c r="F5502" s="175">
        <f t="shared" si="503"/>
        <v>122</v>
      </c>
    </row>
    <row r="5503" spans="1:6" x14ac:dyDescent="0.25">
      <c r="A5503" s="174" t="s">
        <v>27</v>
      </c>
      <c r="B5503" s="136">
        <v>44122</v>
      </c>
      <c r="C5503" s="4">
        <v>1850</v>
      </c>
      <c r="D5503" s="29">
        <f t="shared" si="502"/>
        <v>62911</v>
      </c>
      <c r="E5503" s="4">
        <f>15+12</f>
        <v>27</v>
      </c>
      <c r="F5503" s="175">
        <f t="shared" si="503"/>
        <v>850</v>
      </c>
    </row>
    <row r="5504" spans="1:6" x14ac:dyDescent="0.25">
      <c r="A5504" s="174" t="s">
        <v>37</v>
      </c>
      <c r="B5504" s="136">
        <v>44122</v>
      </c>
      <c r="C5504" s="4">
        <v>41</v>
      </c>
      <c r="D5504" s="29">
        <f t="shared" si="502"/>
        <v>1978</v>
      </c>
      <c r="F5504" s="175">
        <f t="shared" si="503"/>
        <v>32</v>
      </c>
    </row>
    <row r="5505" spans="1:6" x14ac:dyDescent="0.25">
      <c r="A5505" s="174" t="s">
        <v>38</v>
      </c>
      <c r="B5505" s="136">
        <v>44122</v>
      </c>
      <c r="C5505" s="4">
        <v>279</v>
      </c>
      <c r="D5505" s="29">
        <f t="shared" si="502"/>
        <v>11434</v>
      </c>
      <c r="E5505" s="4">
        <v>1</v>
      </c>
      <c r="F5505" s="175">
        <f t="shared" si="503"/>
        <v>207</v>
      </c>
    </row>
    <row r="5506" spans="1:6" x14ac:dyDescent="0.25">
      <c r="A5506" s="174" t="s">
        <v>48</v>
      </c>
      <c r="B5506" s="136">
        <v>44122</v>
      </c>
      <c r="C5506" s="4">
        <v>-2</v>
      </c>
      <c r="D5506" s="29">
        <f t="shared" si="502"/>
        <v>138</v>
      </c>
      <c r="F5506" s="175">
        <f t="shared" si="503"/>
        <v>1</v>
      </c>
    </row>
    <row r="5507" spans="1:6" x14ac:dyDescent="0.25">
      <c r="A5507" s="174" t="s">
        <v>39</v>
      </c>
      <c r="B5507" s="136">
        <v>44122</v>
      </c>
      <c r="C5507" s="4">
        <v>45</v>
      </c>
      <c r="D5507" s="29">
        <f t="shared" si="502"/>
        <v>17234</v>
      </c>
      <c r="F5507" s="175">
        <f t="shared" si="503"/>
        <v>675</v>
      </c>
    </row>
    <row r="5508" spans="1:6" x14ac:dyDescent="0.25">
      <c r="A5508" s="174" t="s">
        <v>40</v>
      </c>
      <c r="B5508" s="136">
        <v>44122</v>
      </c>
      <c r="C5508" s="4">
        <v>87</v>
      </c>
      <c r="D5508" s="29">
        <f t="shared" si="502"/>
        <v>1618</v>
      </c>
      <c r="F5508" s="175">
        <f t="shared" si="503"/>
        <v>17</v>
      </c>
    </row>
    <row r="5509" spans="1:6" x14ac:dyDescent="0.25">
      <c r="A5509" s="174" t="s">
        <v>28</v>
      </c>
      <c r="B5509" s="136">
        <v>44122</v>
      </c>
      <c r="C5509" s="4">
        <v>181</v>
      </c>
      <c r="D5509" s="29">
        <f t="shared" si="502"/>
        <v>6559</v>
      </c>
      <c r="F5509" s="175">
        <f t="shared" si="503"/>
        <v>202</v>
      </c>
    </row>
    <row r="5510" spans="1:6" x14ac:dyDescent="0.25">
      <c r="A5510" s="174" t="s">
        <v>24</v>
      </c>
      <c r="B5510" s="136">
        <v>44122</v>
      </c>
      <c r="C5510" s="4">
        <v>513</v>
      </c>
      <c r="D5510" s="29">
        <f t="shared" si="502"/>
        <v>37102</v>
      </c>
      <c r="E5510" s="4">
        <f>11+6</f>
        <v>17</v>
      </c>
      <c r="F5510" s="175">
        <f t="shared" si="503"/>
        <v>555</v>
      </c>
    </row>
    <row r="5511" spans="1:6" x14ac:dyDescent="0.25">
      <c r="A5511" s="174" t="s">
        <v>30</v>
      </c>
      <c r="B5511" s="136">
        <v>44122</v>
      </c>
      <c r="C5511" s="4">
        <v>4</v>
      </c>
      <c r="D5511" s="29">
        <f t="shared" si="502"/>
        <v>203</v>
      </c>
      <c r="F5511" s="175">
        <f t="shared" si="503"/>
        <v>4</v>
      </c>
    </row>
    <row r="5512" spans="1:6" x14ac:dyDescent="0.25">
      <c r="A5512" s="174" t="s">
        <v>26</v>
      </c>
      <c r="B5512" s="136">
        <v>44122</v>
      </c>
      <c r="C5512" s="4">
        <v>288</v>
      </c>
      <c r="D5512" s="29">
        <f t="shared" si="502"/>
        <v>15083</v>
      </c>
      <c r="E5512" s="4">
        <f>16+8</f>
        <v>24</v>
      </c>
      <c r="F5512" s="175">
        <f t="shared" si="503"/>
        <v>242</v>
      </c>
    </row>
    <row r="5513" spans="1:6" x14ac:dyDescent="0.25">
      <c r="A5513" s="174" t="s">
        <v>25</v>
      </c>
      <c r="B5513" s="136">
        <v>44122</v>
      </c>
      <c r="C5513" s="4">
        <v>273</v>
      </c>
      <c r="D5513" s="29">
        <f t="shared" si="502"/>
        <v>19191</v>
      </c>
      <c r="E5513" s="4">
        <f>1+4</f>
        <v>5</v>
      </c>
      <c r="F5513" s="175">
        <f t="shared" si="503"/>
        <v>408</v>
      </c>
    </row>
    <row r="5514" spans="1:6" x14ac:dyDescent="0.25">
      <c r="A5514" s="174" t="s">
        <v>41</v>
      </c>
      <c r="B5514" s="136">
        <v>44122</v>
      </c>
      <c r="C5514" s="4">
        <v>168</v>
      </c>
      <c r="D5514" s="29">
        <f t="shared" si="502"/>
        <v>16632</v>
      </c>
      <c r="E5514" s="4">
        <f>14+1</f>
        <v>15</v>
      </c>
      <c r="F5514" s="175">
        <f>E5514+F5490</f>
        <v>604</v>
      </c>
    </row>
    <row r="5515" spans="1:6" x14ac:dyDescent="0.25">
      <c r="A5515" s="174" t="s">
        <v>42</v>
      </c>
      <c r="B5515" s="136">
        <v>44122</v>
      </c>
      <c r="C5515" s="4">
        <v>1</v>
      </c>
      <c r="D5515" s="29">
        <f t="shared" si="502"/>
        <v>1292</v>
      </c>
      <c r="F5515" s="175">
        <f>E5515+F5491</f>
        <v>51</v>
      </c>
    </row>
    <row r="5516" spans="1:6" x14ac:dyDescent="0.25">
      <c r="A5516" s="174" t="s">
        <v>43</v>
      </c>
      <c r="B5516" s="136">
        <v>44122</v>
      </c>
      <c r="C5516" s="4">
        <v>183</v>
      </c>
      <c r="D5516" s="29">
        <f t="shared" si="502"/>
        <v>3327</v>
      </c>
      <c r="E5516" s="4">
        <f>1</f>
        <v>1</v>
      </c>
      <c r="F5516" s="175">
        <f t="shared" si="503"/>
        <v>36</v>
      </c>
    </row>
    <row r="5517" spans="1:6" x14ac:dyDescent="0.25">
      <c r="A5517" s="174" t="s">
        <v>44</v>
      </c>
      <c r="B5517" s="136">
        <v>44122</v>
      </c>
      <c r="C5517" s="4">
        <v>84</v>
      </c>
      <c r="D5517" s="29">
        <f t="shared" si="502"/>
        <v>7267</v>
      </c>
      <c r="E5517" s="4">
        <f>3</f>
        <v>3</v>
      </c>
      <c r="F5517" s="175">
        <f>E5517+F5493</f>
        <v>100</v>
      </c>
    </row>
    <row r="5518" spans="1:6" x14ac:dyDescent="0.25">
      <c r="A5518" s="174" t="s">
        <v>29</v>
      </c>
      <c r="B5518" s="136">
        <v>44122</v>
      </c>
      <c r="C5518" s="4">
        <v>2015</v>
      </c>
      <c r="D5518" s="29">
        <f t="shared" si="502"/>
        <v>78824</v>
      </c>
      <c r="E5518" s="4">
        <f>1</f>
        <v>1</v>
      </c>
      <c r="F5518" s="175">
        <f>E5518+F5494</f>
        <v>849</v>
      </c>
    </row>
    <row r="5519" spans="1:6" x14ac:dyDescent="0.25">
      <c r="A5519" s="174" t="s">
        <v>45</v>
      </c>
      <c r="B5519" s="136">
        <v>44122</v>
      </c>
      <c r="C5519" s="4">
        <v>262</v>
      </c>
      <c r="D5519" s="29">
        <f>C5519+D5495</f>
        <v>6815</v>
      </c>
      <c r="F5519" s="175">
        <f t="shared" si="503"/>
        <v>97</v>
      </c>
    </row>
    <row r="5520" spans="1:6" x14ac:dyDescent="0.25">
      <c r="A5520" s="174" t="s">
        <v>46</v>
      </c>
      <c r="B5520" s="136">
        <v>44122</v>
      </c>
      <c r="C5520" s="4">
        <v>208</v>
      </c>
      <c r="D5520" s="29">
        <f>C5520+D5496</f>
        <v>8148</v>
      </c>
      <c r="E5520" s="4">
        <f>2</f>
        <v>2</v>
      </c>
      <c r="F5520" s="175">
        <f>E5520+F5496</f>
        <v>102</v>
      </c>
    </row>
    <row r="5521" spans="1:6" ht="15.75" thickBot="1" x14ac:dyDescent="0.3">
      <c r="A5521" s="176" t="s">
        <v>47</v>
      </c>
      <c r="B5521" s="177">
        <v>44122</v>
      </c>
      <c r="C5521" s="178">
        <v>772</v>
      </c>
      <c r="D5521" s="29">
        <f t="shared" ref="D5521:D5542" si="504">C5521+D5497</f>
        <v>34737</v>
      </c>
      <c r="E5521" s="178"/>
      <c r="F5521" s="179">
        <f>E5521+F5497</f>
        <v>454</v>
      </c>
    </row>
    <row r="5522" spans="1:6" x14ac:dyDescent="0.25">
      <c r="A5522" s="170" t="s">
        <v>22</v>
      </c>
      <c r="B5522" s="171">
        <v>44123</v>
      </c>
      <c r="C5522" s="172">
        <v>4206</v>
      </c>
      <c r="D5522" s="144">
        <f t="shared" si="504"/>
        <v>502430</v>
      </c>
      <c r="E5522" s="172">
        <v>197</v>
      </c>
      <c r="F5522" s="180">
        <v>16032</v>
      </c>
    </row>
    <row r="5523" spans="1:6" x14ac:dyDescent="0.25">
      <c r="A5523" s="174" t="s">
        <v>20</v>
      </c>
      <c r="B5523" s="136">
        <v>44123</v>
      </c>
      <c r="C5523" s="4">
        <v>557</v>
      </c>
      <c r="D5523" s="29">
        <f t="shared" si="504"/>
        <v>140527</v>
      </c>
      <c r="E5523" s="4">
        <v>47</v>
      </c>
      <c r="F5523" s="181">
        <v>4227</v>
      </c>
    </row>
    <row r="5524" spans="1:6" x14ac:dyDescent="0.25">
      <c r="A5524" s="174" t="s">
        <v>35</v>
      </c>
      <c r="B5524" s="136">
        <v>44123</v>
      </c>
      <c r="C5524" s="4">
        <v>12</v>
      </c>
      <c r="D5524" s="29">
        <f t="shared" si="504"/>
        <v>492</v>
      </c>
      <c r="F5524" s="181">
        <f>E5524+F5500</f>
        <v>0</v>
      </c>
    </row>
    <row r="5525" spans="1:6" x14ac:dyDescent="0.25">
      <c r="A5525" s="174" t="s">
        <v>21</v>
      </c>
      <c r="B5525" s="136">
        <v>44123</v>
      </c>
      <c r="C5525" s="4">
        <v>185</v>
      </c>
      <c r="D5525" s="29">
        <f t="shared" si="504"/>
        <v>11848</v>
      </c>
      <c r="E5525" s="4">
        <v>8</v>
      </c>
      <c r="F5525" s="181">
        <v>373</v>
      </c>
    </row>
    <row r="5526" spans="1:6" x14ac:dyDescent="0.25">
      <c r="A5526" s="174" t="s">
        <v>36</v>
      </c>
      <c r="B5526" s="136">
        <v>44123</v>
      </c>
      <c r="C5526" s="4">
        <v>220</v>
      </c>
      <c r="D5526" s="29">
        <f t="shared" si="504"/>
        <v>9262</v>
      </c>
      <c r="E5526" s="4">
        <v>1</v>
      </c>
      <c r="F5526" s="181">
        <v>185</v>
      </c>
    </row>
    <row r="5527" spans="1:6" x14ac:dyDescent="0.25">
      <c r="A5527" s="174" t="s">
        <v>27</v>
      </c>
      <c r="B5527" s="136">
        <v>44123</v>
      </c>
      <c r="C5527" s="4">
        <v>1668</v>
      </c>
      <c r="D5527" s="29">
        <f t="shared" si="504"/>
        <v>64579</v>
      </c>
      <c r="E5527" s="4">
        <v>44</v>
      </c>
      <c r="F5527" s="181">
        <v>871</v>
      </c>
    </row>
    <row r="5528" spans="1:6" x14ac:dyDescent="0.25">
      <c r="A5528" s="174" t="s">
        <v>37</v>
      </c>
      <c r="B5528" s="136">
        <v>44123</v>
      </c>
      <c r="C5528" s="4">
        <v>122</v>
      </c>
      <c r="D5528" s="29">
        <f t="shared" si="504"/>
        <v>2100</v>
      </c>
      <c r="E5528" s="4">
        <v>3</v>
      </c>
      <c r="F5528" s="181">
        <v>36</v>
      </c>
    </row>
    <row r="5529" spans="1:6" x14ac:dyDescent="0.25">
      <c r="A5529" s="174" t="s">
        <v>38</v>
      </c>
      <c r="B5529" s="136">
        <v>44123</v>
      </c>
      <c r="C5529" s="4">
        <v>258</v>
      </c>
      <c r="D5529" s="29">
        <f t="shared" si="504"/>
        <v>11692</v>
      </c>
      <c r="E5529" s="4">
        <v>5</v>
      </c>
      <c r="F5529" s="181">
        <v>210</v>
      </c>
    </row>
    <row r="5530" spans="1:6" x14ac:dyDescent="0.25">
      <c r="A5530" s="174" t="s">
        <v>48</v>
      </c>
      <c r="B5530" s="136">
        <v>44123</v>
      </c>
      <c r="C5530" s="4">
        <v>6</v>
      </c>
      <c r="D5530" s="29">
        <f t="shared" si="504"/>
        <v>144</v>
      </c>
      <c r="F5530" s="181">
        <f>E5530+F5506</f>
        <v>1</v>
      </c>
    </row>
    <row r="5531" spans="1:6" x14ac:dyDescent="0.25">
      <c r="A5531" s="174" t="s">
        <v>39</v>
      </c>
      <c r="B5531" s="136">
        <v>44123</v>
      </c>
      <c r="C5531" s="4">
        <v>51</v>
      </c>
      <c r="D5531" s="29">
        <f t="shared" si="504"/>
        <v>17285</v>
      </c>
      <c r="E5531" s="4">
        <v>30</v>
      </c>
      <c r="F5531" s="181">
        <v>734</v>
      </c>
    </row>
    <row r="5532" spans="1:6" x14ac:dyDescent="0.25">
      <c r="A5532" s="174" t="s">
        <v>40</v>
      </c>
      <c r="B5532" s="136">
        <v>44123</v>
      </c>
      <c r="C5532" s="4">
        <v>92</v>
      </c>
      <c r="D5532" s="29">
        <f t="shared" si="504"/>
        <v>1710</v>
      </c>
      <c r="F5532" s="181">
        <v>16</v>
      </c>
    </row>
    <row r="5533" spans="1:6" x14ac:dyDescent="0.25">
      <c r="A5533" s="174" t="s">
        <v>28</v>
      </c>
      <c r="B5533" s="136">
        <v>44123</v>
      </c>
      <c r="C5533" s="4">
        <v>65</v>
      </c>
      <c r="D5533" s="29">
        <f t="shared" si="504"/>
        <v>6624</v>
      </c>
      <c r="E5533" s="4">
        <v>3</v>
      </c>
      <c r="F5533" s="181">
        <v>226</v>
      </c>
    </row>
    <row r="5534" spans="1:6" x14ac:dyDescent="0.25">
      <c r="A5534" s="174" t="s">
        <v>24</v>
      </c>
      <c r="B5534" s="136">
        <v>44123</v>
      </c>
      <c r="C5534" s="4">
        <v>744</v>
      </c>
      <c r="D5534" s="29">
        <f t="shared" si="504"/>
        <v>37846</v>
      </c>
      <c r="E5534" s="4">
        <v>28</v>
      </c>
      <c r="F5534" s="181">
        <v>625</v>
      </c>
    </row>
    <row r="5535" spans="1:6" x14ac:dyDescent="0.25">
      <c r="A5535" s="174" t="s">
        <v>30</v>
      </c>
      <c r="B5535" s="136">
        <v>44123</v>
      </c>
      <c r="C5535" s="4">
        <v>-6</v>
      </c>
      <c r="D5535" s="29">
        <f t="shared" si="504"/>
        <v>197</v>
      </c>
      <c r="F5535" s="181">
        <f>E5535+F5511</f>
        <v>4</v>
      </c>
    </row>
    <row r="5536" spans="1:6" x14ac:dyDescent="0.25">
      <c r="A5536" s="174" t="s">
        <v>26</v>
      </c>
      <c r="B5536" s="136">
        <v>44123</v>
      </c>
      <c r="C5536" s="4">
        <v>271</v>
      </c>
      <c r="D5536" s="29">
        <f t="shared" si="504"/>
        <v>15354</v>
      </c>
      <c r="E5536" s="4">
        <v>4</v>
      </c>
      <c r="F5536" s="181">
        <v>282</v>
      </c>
    </row>
    <row r="5537" spans="1:6" x14ac:dyDescent="0.25">
      <c r="A5537" s="174" t="s">
        <v>25</v>
      </c>
      <c r="B5537" s="136">
        <v>44123</v>
      </c>
      <c r="C5537" s="4">
        <v>207</v>
      </c>
      <c r="D5537" s="29">
        <f t="shared" si="504"/>
        <v>19398</v>
      </c>
      <c r="E5537" s="4">
        <v>11</v>
      </c>
      <c r="F5537" s="181">
        <v>505</v>
      </c>
    </row>
    <row r="5538" spans="1:6" x14ac:dyDescent="0.25">
      <c r="A5538" s="174" t="s">
        <v>41</v>
      </c>
      <c r="B5538" s="136">
        <v>44123</v>
      </c>
      <c r="C5538" s="4">
        <v>80</v>
      </c>
      <c r="D5538" s="29">
        <f t="shared" si="504"/>
        <v>16712</v>
      </c>
      <c r="E5538" s="4">
        <v>18</v>
      </c>
      <c r="F5538" s="181">
        <v>632</v>
      </c>
    </row>
    <row r="5539" spans="1:6" x14ac:dyDescent="0.25">
      <c r="A5539" s="174" t="s">
        <v>42</v>
      </c>
      <c r="B5539" s="136">
        <v>44123</v>
      </c>
      <c r="C5539" s="4">
        <v>10</v>
      </c>
      <c r="D5539" s="29">
        <f t="shared" si="504"/>
        <v>1302</v>
      </c>
      <c r="E5539" s="4">
        <v>2</v>
      </c>
      <c r="F5539" s="181">
        <v>75</v>
      </c>
    </row>
    <row r="5540" spans="1:6" x14ac:dyDescent="0.25">
      <c r="A5540" s="174" t="s">
        <v>43</v>
      </c>
      <c r="B5540" s="136">
        <v>44123</v>
      </c>
      <c r="C5540" s="4">
        <v>277</v>
      </c>
      <c r="D5540" s="29">
        <f t="shared" si="504"/>
        <v>3604</v>
      </c>
      <c r="F5540" s="181">
        <v>51</v>
      </c>
    </row>
    <row r="5541" spans="1:6" x14ac:dyDescent="0.25">
      <c r="A5541" s="174" t="s">
        <v>44</v>
      </c>
      <c r="B5541" s="136">
        <v>44123</v>
      </c>
      <c r="C5541" s="4">
        <v>138</v>
      </c>
      <c r="D5541" s="29">
        <f t="shared" si="504"/>
        <v>7405</v>
      </c>
      <c r="E5541" s="4">
        <v>1</v>
      </c>
      <c r="F5541" s="181">
        <v>99</v>
      </c>
    </row>
    <row r="5542" spans="1:6" x14ac:dyDescent="0.25">
      <c r="A5542" s="174" t="s">
        <v>29</v>
      </c>
      <c r="B5542" s="136">
        <v>44123</v>
      </c>
      <c r="C5542" s="4">
        <v>2050</v>
      </c>
      <c r="D5542" s="29">
        <f t="shared" si="504"/>
        <v>80874</v>
      </c>
      <c r="E5542" s="4">
        <v>28</v>
      </c>
      <c r="F5542" s="181">
        <v>857</v>
      </c>
    </row>
    <row r="5543" spans="1:6" x14ac:dyDescent="0.25">
      <c r="A5543" s="174" t="s">
        <v>45</v>
      </c>
      <c r="B5543" s="136">
        <v>44123</v>
      </c>
      <c r="C5543" s="4">
        <v>145</v>
      </c>
      <c r="D5543" s="29">
        <f>C5543+D5519</f>
        <v>6960</v>
      </c>
      <c r="E5543" s="4">
        <v>1</v>
      </c>
      <c r="F5543" s="181">
        <v>100</v>
      </c>
    </row>
    <row r="5544" spans="1:6" x14ac:dyDescent="0.25">
      <c r="A5544" s="174" t="s">
        <v>46</v>
      </c>
      <c r="B5544" s="136">
        <v>44123</v>
      </c>
      <c r="C5544" s="4">
        <v>238</v>
      </c>
      <c r="D5544" s="29">
        <f>C5544+D5520</f>
        <v>8386</v>
      </c>
      <c r="F5544" s="181">
        <f>E5544+F5520</f>
        <v>102</v>
      </c>
    </row>
    <row r="5545" spans="1:6" ht="15.75" thickBot="1" x14ac:dyDescent="0.3">
      <c r="A5545" s="190" t="s">
        <v>47</v>
      </c>
      <c r="B5545" s="138">
        <v>44123</v>
      </c>
      <c r="C5545" s="47">
        <v>1386</v>
      </c>
      <c r="D5545" s="29">
        <f t="shared" ref="D5545:D5566" si="505">C5545+D5521</f>
        <v>36123</v>
      </c>
      <c r="E5545" s="47">
        <v>17</v>
      </c>
      <c r="F5545" s="181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5"/>
        <v>507411</v>
      </c>
      <c r="E5546" s="50">
        <f>83+60</f>
        <v>143</v>
      </c>
      <c r="F5546" s="128">
        <f t="shared" ref="F5546:F5609" si="506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5"/>
        <v>141190</v>
      </c>
      <c r="E5547" s="4">
        <f>19+34+1</f>
        <v>54</v>
      </c>
      <c r="F5547" s="129">
        <f t="shared" si="506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5"/>
        <v>500</v>
      </c>
      <c r="F5548" s="129">
        <f t="shared" si="506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5"/>
        <v>12041</v>
      </c>
      <c r="E5549" s="4">
        <f>3+2</f>
        <v>5</v>
      </c>
      <c r="F5549" s="129">
        <f t="shared" si="506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5"/>
        <v>9727</v>
      </c>
      <c r="E5550" s="4">
        <f>5+2</f>
        <v>7</v>
      </c>
      <c r="F5550" s="129">
        <f t="shared" si="506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5"/>
        <v>66287</v>
      </c>
      <c r="E5551" s="4">
        <f>31+21</f>
        <v>52</v>
      </c>
      <c r="F5551" s="129">
        <f t="shared" si="506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5"/>
        <v>2134</v>
      </c>
      <c r="F5552" s="129">
        <f t="shared" si="506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5"/>
        <v>12094</v>
      </c>
      <c r="E5553" s="4">
        <f>2+3</f>
        <v>5</v>
      </c>
      <c r="F5553" s="129">
        <f t="shared" si="506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5"/>
        <v>140</v>
      </c>
      <c r="F5554" s="129">
        <f t="shared" si="506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5"/>
        <v>17344</v>
      </c>
      <c r="E5555" s="4">
        <f>2+2</f>
        <v>4</v>
      </c>
      <c r="F5555" s="129">
        <f t="shared" si="506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5"/>
        <v>1808</v>
      </c>
      <c r="E5556" s="4">
        <f>1+1</f>
        <v>2</v>
      </c>
      <c r="F5556" s="129">
        <f t="shared" si="506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5"/>
        <v>6665</v>
      </c>
      <c r="E5557" s="4">
        <f>1+1</f>
        <v>2</v>
      </c>
      <c r="F5557" s="129">
        <f t="shared" si="506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5"/>
        <v>38814</v>
      </c>
      <c r="E5558" s="4">
        <f>7+2</f>
        <v>9</v>
      </c>
      <c r="F5558" s="129">
        <f t="shared" si="506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5"/>
        <v>195</v>
      </c>
      <c r="F5559" s="129">
        <f t="shared" si="506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5"/>
        <v>16659</v>
      </c>
      <c r="E5560" s="4">
        <f>5+2</f>
        <v>7</v>
      </c>
      <c r="F5560" s="129">
        <f t="shared" si="506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5"/>
        <v>19791</v>
      </c>
      <c r="E5561" s="4">
        <f>1+1</f>
        <v>2</v>
      </c>
      <c r="F5561" s="129">
        <f t="shared" si="506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5"/>
        <v>16913</v>
      </c>
      <c r="E5562" s="4">
        <v>7</v>
      </c>
      <c r="F5562" s="129">
        <f t="shared" si="506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5"/>
        <v>1307</v>
      </c>
      <c r="E5563" s="4">
        <f>1</f>
        <v>1</v>
      </c>
      <c r="F5563" s="129">
        <f t="shared" si="506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5"/>
        <v>3870</v>
      </c>
      <c r="F5564" s="129">
        <f t="shared" si="506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5"/>
        <v>7563</v>
      </c>
      <c r="E5565" s="4">
        <v>3</v>
      </c>
      <c r="F5565" s="129">
        <f t="shared" si="506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5"/>
        <v>83449</v>
      </c>
      <c r="E5566" s="4">
        <f>33+27</f>
        <v>60</v>
      </c>
      <c r="F5566" s="129">
        <f t="shared" si="506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>C5567+D5543</f>
        <v>7064</v>
      </c>
      <c r="E5567" s="4">
        <f>2+1</f>
        <v>3</v>
      </c>
      <c r="F5567" s="129">
        <f t="shared" si="506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>C5568+D5544</f>
        <v>8681</v>
      </c>
      <c r="E5568" s="4">
        <f>1</f>
        <v>1</v>
      </c>
      <c r="F5568" s="129">
        <f t="shared" si="506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07">C5569+D5545</f>
        <v>37544</v>
      </c>
      <c r="E5569" s="47">
        <f>9+6</f>
        <v>15</v>
      </c>
      <c r="F5569" s="139">
        <f t="shared" si="506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07"/>
        <v>512590</v>
      </c>
      <c r="E5570" s="50">
        <f>52+54</f>
        <v>106</v>
      </c>
      <c r="F5570" s="128">
        <f t="shared" si="506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07"/>
        <v>141930</v>
      </c>
      <c r="E5571" s="4">
        <f>30+22</f>
        <v>52</v>
      </c>
      <c r="F5571" s="129">
        <f t="shared" si="506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07"/>
        <v>525</v>
      </c>
      <c r="F5572" s="129">
        <f t="shared" si="506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07"/>
        <v>12296</v>
      </c>
      <c r="E5573" s="4">
        <f>2+2</f>
        <v>4</v>
      </c>
      <c r="F5573" s="129">
        <f t="shared" si="506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07"/>
        <v>10258</v>
      </c>
      <c r="E5574" s="4">
        <f>2</f>
        <v>2</v>
      </c>
      <c r="F5574" s="129">
        <f t="shared" si="506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07"/>
        <v>68767</v>
      </c>
      <c r="E5575" s="4">
        <f>29+26</f>
        <v>55</v>
      </c>
      <c r="F5575" s="129">
        <f t="shared" si="506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07"/>
        <v>2154</v>
      </c>
      <c r="F5576" s="129">
        <f t="shared" si="506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07"/>
        <v>12561</v>
      </c>
      <c r="E5577" s="4">
        <f>1+2</f>
        <v>3</v>
      </c>
      <c r="F5577" s="129">
        <f t="shared" si="506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07"/>
        <v>147</v>
      </c>
      <c r="F5578" s="129">
        <f t="shared" si="506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07"/>
        <v>17412</v>
      </c>
      <c r="E5579" s="4">
        <f>2+1</f>
        <v>3</v>
      </c>
      <c r="F5579" s="129">
        <f t="shared" si="506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07"/>
        <v>1969</v>
      </c>
      <c r="E5580" s="4">
        <f>2</f>
        <v>2</v>
      </c>
      <c r="F5580" s="129">
        <f t="shared" si="506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07"/>
        <v>6799</v>
      </c>
      <c r="E5581" s="4">
        <f>6</f>
        <v>6</v>
      </c>
      <c r="F5581" s="129">
        <f t="shared" si="506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07"/>
        <v>39969</v>
      </c>
      <c r="E5582" s="4">
        <f>14+7</f>
        <v>21</v>
      </c>
      <c r="F5582" s="129">
        <f t="shared" si="506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07"/>
        <v>198</v>
      </c>
      <c r="F5583" s="129">
        <f t="shared" si="506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07"/>
        <v>17635</v>
      </c>
      <c r="E5584" s="4">
        <f>21+7</f>
        <v>28</v>
      </c>
      <c r="F5584" s="129">
        <f t="shared" si="506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07"/>
        <v>20327</v>
      </c>
      <c r="E5585" s="4">
        <f>7+5</f>
        <v>12</v>
      </c>
      <c r="F5585" s="129">
        <f t="shared" si="506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07"/>
        <v>17167</v>
      </c>
      <c r="E5586" s="4">
        <f>7+6</f>
        <v>13</v>
      </c>
      <c r="F5586" s="129">
        <f t="shared" si="506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07"/>
        <v>1315</v>
      </c>
      <c r="F5587" s="129">
        <f t="shared" si="506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07"/>
        <v>4377</v>
      </c>
      <c r="F5588" s="129">
        <f t="shared" si="506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07"/>
        <v>7760</v>
      </c>
      <c r="E5589" s="4">
        <f>1</f>
        <v>1</v>
      </c>
      <c r="F5589" s="129">
        <f t="shared" si="506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07"/>
        <v>86122</v>
      </c>
      <c r="E5590" s="4">
        <f>29+23</f>
        <v>52</v>
      </c>
      <c r="F5590" s="129">
        <f t="shared" si="506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>C5591+D5567</f>
        <v>7249</v>
      </c>
      <c r="E5591" s="4">
        <f>1</f>
        <v>1</v>
      </c>
      <c r="F5591" s="129">
        <f t="shared" si="506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>C5592+D5568</f>
        <v>8886</v>
      </c>
      <c r="E5592" s="4">
        <f>4</f>
        <v>4</v>
      </c>
      <c r="F5592" s="129">
        <f t="shared" si="506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08">C5593+D5569</f>
        <v>39104</v>
      </c>
      <c r="E5593" s="54">
        <f>38+20</f>
        <v>58</v>
      </c>
      <c r="F5593" s="139">
        <f t="shared" si="506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08"/>
        <v>517444</v>
      </c>
      <c r="E5594" s="50">
        <f>106+86</f>
        <v>192</v>
      </c>
      <c r="F5594" s="128">
        <f t="shared" si="506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08"/>
        <v>142496</v>
      </c>
      <c r="E5595" s="4">
        <f>31+21</f>
        <v>52</v>
      </c>
      <c r="F5595" s="129">
        <f t="shared" si="506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08"/>
        <v>552</v>
      </c>
      <c r="F5596" s="129">
        <f t="shared" si="506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08"/>
        <v>12550</v>
      </c>
      <c r="E5597" s="4">
        <f>5+2</f>
        <v>7</v>
      </c>
      <c r="F5597" s="129">
        <f t="shared" si="506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08"/>
        <v>10928</v>
      </c>
      <c r="E5598" s="4">
        <f>2+2</f>
        <v>4</v>
      </c>
      <c r="F5598" s="129">
        <f t="shared" si="506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08"/>
        <v>70624</v>
      </c>
      <c r="E5599" s="4">
        <f>21+8</f>
        <v>29</v>
      </c>
      <c r="F5599" s="129">
        <f t="shared" si="506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08"/>
        <v>2188</v>
      </c>
      <c r="F5600" s="129">
        <f t="shared" si="506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08"/>
        <v>12954</v>
      </c>
      <c r="E5601" s="4">
        <f>2+2</f>
        <v>4</v>
      </c>
      <c r="F5601" s="129">
        <f t="shared" si="506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08"/>
        <v>140</v>
      </c>
      <c r="F5602" s="129">
        <f t="shared" si="506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08"/>
        <v>17471</v>
      </c>
      <c r="E5603" s="4">
        <f>5+1</f>
        <v>6</v>
      </c>
      <c r="F5603" s="129">
        <f t="shared" si="506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08"/>
        <v>2130</v>
      </c>
      <c r="E5604" s="4">
        <f>3</f>
        <v>3</v>
      </c>
      <c r="F5604" s="129">
        <f t="shared" si="506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08"/>
        <v>6861</v>
      </c>
      <c r="F5605" s="129">
        <f t="shared" si="506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08"/>
        <v>40905</v>
      </c>
      <c r="E5606" s="4">
        <f>11+6</f>
        <v>17</v>
      </c>
      <c r="F5606" s="129">
        <f t="shared" si="506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08"/>
        <v>207</v>
      </c>
      <c r="F5607" s="129">
        <f t="shared" si="506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08"/>
        <v>18202</v>
      </c>
      <c r="E5608" s="4">
        <f>1</f>
        <v>1</v>
      </c>
      <c r="F5608" s="129">
        <f t="shared" si="506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08"/>
        <v>20838</v>
      </c>
      <c r="E5609" s="4">
        <f>6+3</f>
        <v>9</v>
      </c>
      <c r="F5609" s="129">
        <f t="shared" si="506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08"/>
        <v>17454</v>
      </c>
      <c r="E5610" s="4">
        <f>14+4</f>
        <v>18</v>
      </c>
      <c r="F5610" s="129">
        <f t="shared" ref="F5610:F5673" si="509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08"/>
        <v>1322</v>
      </c>
      <c r="F5611" s="129">
        <f t="shared" si="509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08"/>
        <v>4746</v>
      </c>
      <c r="E5612" s="4">
        <f>1</f>
        <v>1</v>
      </c>
      <c r="F5612" s="129">
        <f t="shared" si="509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08"/>
        <v>7955</v>
      </c>
      <c r="E5613" s="4">
        <f>3+2</f>
        <v>5</v>
      </c>
      <c r="F5613" s="129">
        <f t="shared" si="509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08"/>
        <v>88658</v>
      </c>
      <c r="E5614" s="4">
        <f>21+17</f>
        <v>38</v>
      </c>
      <c r="F5614" s="129">
        <f t="shared" si="509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>C5615+D5591</f>
        <v>7496</v>
      </c>
      <c r="E5615" s="4">
        <f>2</f>
        <v>2</v>
      </c>
      <c r="F5615" s="129">
        <f t="shared" si="509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>C5616+D5592</f>
        <v>9140</v>
      </c>
      <c r="E5616" s="4">
        <f>4+1</f>
        <v>5</v>
      </c>
      <c r="F5616" s="129">
        <f t="shared" si="509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0">C5617+D5593</f>
        <v>40581</v>
      </c>
      <c r="E5617" s="54">
        <f>26+15</f>
        <v>41</v>
      </c>
      <c r="F5617" s="139">
        <f t="shared" si="509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0"/>
        <v>522093</v>
      </c>
      <c r="E5618" s="4">
        <f>83+56</f>
        <v>139</v>
      </c>
      <c r="F5618" s="128">
        <f t="shared" si="509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0"/>
        <v>143081</v>
      </c>
      <c r="E5619" s="4">
        <f>1+28+24</f>
        <v>53</v>
      </c>
      <c r="F5619" s="129">
        <f t="shared" si="509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0"/>
        <v>563</v>
      </c>
      <c r="F5620" s="129">
        <f t="shared" si="509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0"/>
        <v>12781</v>
      </c>
      <c r="E5621" s="4">
        <f>4+1</f>
        <v>5</v>
      </c>
      <c r="F5621" s="129">
        <f t="shared" si="509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0"/>
        <v>11601</v>
      </c>
      <c r="E5622" s="4">
        <f>5+3</f>
        <v>8</v>
      </c>
      <c r="F5622" s="129">
        <f t="shared" si="509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0"/>
        <v>72758</v>
      </c>
      <c r="E5623" s="4">
        <f>26+13</f>
        <v>39</v>
      </c>
      <c r="F5623" s="129">
        <f t="shared" si="509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0"/>
        <v>2200</v>
      </c>
      <c r="E5624" s="4">
        <f>2+2</f>
        <v>4</v>
      </c>
      <c r="F5624" s="129">
        <f t="shared" si="509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0"/>
        <v>13429</v>
      </c>
      <c r="E5625" s="4">
        <f>3+2</f>
        <v>5</v>
      </c>
      <c r="F5625" s="129">
        <f t="shared" si="509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0"/>
        <v>142</v>
      </c>
      <c r="F5626" s="129">
        <f t="shared" si="509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0"/>
        <v>17517</v>
      </c>
      <c r="E5627" s="4">
        <f>15+6</f>
        <v>21</v>
      </c>
      <c r="F5627" s="129">
        <f t="shared" si="509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0"/>
        <v>2259</v>
      </c>
      <c r="E5628" s="4">
        <f>2</f>
        <v>2</v>
      </c>
      <c r="F5628" s="129">
        <f t="shared" si="509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0"/>
        <v>6970</v>
      </c>
      <c r="E5629" s="4">
        <f>5</f>
        <v>5</v>
      </c>
      <c r="F5629" s="129">
        <f t="shared" si="509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0"/>
        <v>41735</v>
      </c>
      <c r="E5630" s="4">
        <f>7+4</f>
        <v>11</v>
      </c>
      <c r="F5630" s="129">
        <f t="shared" si="509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0"/>
        <v>209</v>
      </c>
      <c r="F5631" s="129">
        <f t="shared" si="509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0"/>
        <v>18613</v>
      </c>
      <c r="E5632" s="4">
        <f>10+7</f>
        <v>17</v>
      </c>
      <c r="F5632" s="129">
        <f t="shared" si="509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0"/>
        <v>21255</v>
      </c>
      <c r="E5633" s="4">
        <f>4+7</f>
        <v>11</v>
      </c>
      <c r="F5633" s="129">
        <f t="shared" si="509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0"/>
        <v>17692</v>
      </c>
      <c r="E5634" s="4">
        <f>12+1</f>
        <v>13</v>
      </c>
      <c r="F5634" s="129">
        <f t="shared" si="509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0"/>
        <v>1374</v>
      </c>
      <c r="F5635" s="129">
        <f t="shared" si="509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0"/>
        <v>5062</v>
      </c>
      <c r="F5636" s="129">
        <f t="shared" si="509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0"/>
        <v>8155</v>
      </c>
      <c r="E5637" s="4">
        <f>4+1</f>
        <v>5</v>
      </c>
      <c r="F5637" s="129">
        <f t="shared" si="509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0"/>
        <v>91175</v>
      </c>
      <c r="E5638" s="4">
        <f>16+11</f>
        <v>27</v>
      </c>
      <c r="F5638" s="129">
        <f t="shared" si="509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>C5639+D5615</f>
        <v>7812</v>
      </c>
      <c r="F5639" s="129">
        <f t="shared" si="509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>C5640+D5616</f>
        <v>9471</v>
      </c>
      <c r="E5640" s="4">
        <f>3+4</f>
        <v>7</v>
      </c>
      <c r="F5640" s="129">
        <f t="shared" si="509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1">C5641+D5617</f>
        <v>41613</v>
      </c>
      <c r="E5641" s="4">
        <f>4+6</f>
        <v>10</v>
      </c>
      <c r="F5641" s="139">
        <f t="shared" si="509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1"/>
        <v>525123</v>
      </c>
      <c r="E5642" s="4">
        <f>55+41</f>
        <v>96</v>
      </c>
      <c r="F5642" s="128">
        <f t="shared" si="509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1"/>
        <v>143545</v>
      </c>
      <c r="E5643" s="4">
        <f>1+17+23</f>
        <v>41</v>
      </c>
      <c r="F5643" s="129">
        <f t="shared" si="509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1"/>
        <v>596</v>
      </c>
      <c r="F5644" s="129">
        <f t="shared" si="509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1"/>
        <v>12928</v>
      </c>
      <c r="E5645" s="4">
        <f>5+1</f>
        <v>6</v>
      </c>
      <c r="F5645" s="129">
        <f t="shared" si="509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1"/>
        <v>11952</v>
      </c>
      <c r="E5646" s="4">
        <f>3+2</f>
        <v>5</v>
      </c>
      <c r="F5646" s="129">
        <f t="shared" si="509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1"/>
        <v>74605</v>
      </c>
      <c r="E5647" s="4">
        <f>17+13</f>
        <v>30</v>
      </c>
      <c r="F5647" s="129">
        <f t="shared" si="509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1"/>
        <v>2245</v>
      </c>
      <c r="F5648" s="129">
        <f t="shared" si="509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1"/>
        <v>13738</v>
      </c>
      <c r="E5649" s="4">
        <f>1+1</f>
        <v>2</v>
      </c>
      <c r="F5649" s="129">
        <f t="shared" si="509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1"/>
        <v>142</v>
      </c>
      <c r="F5650" s="129">
        <f t="shared" si="509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1"/>
        <v>17579</v>
      </c>
      <c r="E5651" s="4">
        <f>3+1</f>
        <v>4</v>
      </c>
      <c r="F5651" s="129">
        <f t="shared" si="509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1"/>
        <v>2336</v>
      </c>
      <c r="F5652" s="129">
        <f t="shared" si="509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1"/>
        <v>7016</v>
      </c>
      <c r="F5653" s="129">
        <f t="shared" si="509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1"/>
        <v>42388</v>
      </c>
      <c r="E5654" s="4">
        <f>2+4</f>
        <v>6</v>
      </c>
      <c r="F5654" s="129">
        <f t="shared" si="509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1"/>
        <v>212</v>
      </c>
      <c r="E5655" s="4">
        <f>1</f>
        <v>1</v>
      </c>
      <c r="F5655" s="129">
        <f t="shared" si="509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1"/>
        <v>19147</v>
      </c>
      <c r="F5656" s="129">
        <f t="shared" si="509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1"/>
        <v>21522</v>
      </c>
      <c r="E5657" s="4">
        <f>4+6</f>
        <v>10</v>
      </c>
      <c r="F5657" s="129">
        <f t="shared" si="509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1"/>
        <v>17885</v>
      </c>
      <c r="E5658" s="4">
        <f>4</f>
        <v>4</v>
      </c>
      <c r="F5658" s="129">
        <f t="shared" si="509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1"/>
        <v>1380</v>
      </c>
      <c r="E5659" s="4">
        <f>1</f>
        <v>1</v>
      </c>
      <c r="F5659" s="129">
        <f t="shared" si="509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1"/>
        <v>5295</v>
      </c>
      <c r="F5660" s="129">
        <f t="shared" si="509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1"/>
        <v>8291</v>
      </c>
      <c r="F5661" s="129">
        <f t="shared" si="509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1"/>
        <v>93102</v>
      </c>
      <c r="E5662" s="4">
        <f>7+10</f>
        <v>17</v>
      </c>
      <c r="F5662" s="129">
        <f t="shared" si="509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>C5663+D5639</f>
        <v>8123</v>
      </c>
      <c r="F5663" s="129">
        <f t="shared" si="509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>C5664+D5640</f>
        <v>9809</v>
      </c>
      <c r="E5664" s="4">
        <f>6+1</f>
        <v>7</v>
      </c>
      <c r="F5664" s="129">
        <f t="shared" si="509"/>
        <v>126</v>
      </c>
    </row>
    <row r="5665" spans="1:6" ht="15.75" thickBot="1" x14ac:dyDescent="0.3">
      <c r="A5665" s="142" t="s">
        <v>47</v>
      </c>
      <c r="B5665" s="202">
        <v>44128</v>
      </c>
      <c r="C5665" s="47">
        <v>956</v>
      </c>
      <c r="D5665" s="29">
        <f t="shared" ref="D5665:D5686" si="512">C5665+D5641</f>
        <v>42569</v>
      </c>
      <c r="E5665" s="47">
        <f>29+14</f>
        <v>43</v>
      </c>
      <c r="F5665" s="139">
        <f t="shared" si="509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12"/>
        <v>527293</v>
      </c>
      <c r="E5666" s="50">
        <f>40+46</f>
        <v>86</v>
      </c>
      <c r="F5666" s="128">
        <f t="shared" si="509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12"/>
        <v>143990</v>
      </c>
      <c r="E5667" s="4">
        <f>22+13</f>
        <v>35</v>
      </c>
      <c r="F5667" s="129">
        <f t="shared" si="509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2"/>
        <v>631</v>
      </c>
      <c r="F5668" s="129">
        <f t="shared" si="509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2"/>
        <v>13090</v>
      </c>
      <c r="E5669" s="4">
        <f>4+1</f>
        <v>5</v>
      </c>
      <c r="F5669" s="129">
        <f t="shared" si="509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2"/>
        <v>12437</v>
      </c>
      <c r="E5670" s="4">
        <f>4+1</f>
        <v>5</v>
      </c>
      <c r="F5670" s="129">
        <f t="shared" si="509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2"/>
        <v>75995</v>
      </c>
      <c r="E5671" s="4">
        <f>15+14</f>
        <v>29</v>
      </c>
      <c r="F5671" s="129">
        <f t="shared" si="509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2"/>
        <v>2269</v>
      </c>
      <c r="F5672" s="129">
        <f t="shared" si="509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2"/>
        <v>13940</v>
      </c>
      <c r="E5673" s="4">
        <f>7+4</f>
        <v>11</v>
      </c>
      <c r="F5673" s="129">
        <f t="shared" si="509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2"/>
        <v>143</v>
      </c>
      <c r="F5674" s="129">
        <f t="shared" ref="F5674:F5737" si="513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2"/>
        <v>17614</v>
      </c>
      <c r="E5675" s="4">
        <f>4</f>
        <v>4</v>
      </c>
      <c r="F5675" s="129">
        <f t="shared" si="513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2"/>
        <v>2456</v>
      </c>
      <c r="F5676" s="129">
        <f t="shared" si="513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2"/>
        <v>7124</v>
      </c>
      <c r="F5677" s="129">
        <f t="shared" si="513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2"/>
        <v>42949</v>
      </c>
      <c r="E5678" s="4">
        <f>11+5</f>
        <v>16</v>
      </c>
      <c r="F5678" s="129">
        <f t="shared" si="513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2"/>
        <v>217</v>
      </c>
      <c r="F5679" s="129">
        <f t="shared" si="513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2"/>
        <v>19383</v>
      </c>
      <c r="E5680" s="4">
        <f>10+10</f>
        <v>20</v>
      </c>
      <c r="F5680" s="129">
        <f t="shared" si="513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2"/>
        <v>21760</v>
      </c>
      <c r="E5681" s="4">
        <f>7+4</f>
        <v>11</v>
      </c>
      <c r="F5681" s="129">
        <f t="shared" si="513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2"/>
        <v>18030</v>
      </c>
      <c r="E5682" s="4">
        <f>20+5</f>
        <v>25</v>
      </c>
      <c r="F5682" s="129">
        <f t="shared" si="513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2"/>
        <v>1386</v>
      </c>
      <c r="F5683" s="129">
        <f t="shared" si="513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2"/>
        <v>5483</v>
      </c>
      <c r="F5684" s="129">
        <f t="shared" si="513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2"/>
        <v>8469</v>
      </c>
      <c r="F5685" s="129">
        <f t="shared" si="513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12"/>
        <v>94507</v>
      </c>
      <c r="E5686" s="4">
        <f>3+3</f>
        <v>6</v>
      </c>
      <c r="F5686" s="129">
        <f t="shared" si="513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>C5687+D5663</f>
        <v>8385</v>
      </c>
      <c r="E5687" s="4">
        <f>5+3</f>
        <v>8</v>
      </c>
      <c r="F5687" s="129">
        <f t="shared" si="513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>C5688+D5664</f>
        <v>10052</v>
      </c>
      <c r="E5688" s="4">
        <f>2</f>
        <v>2</v>
      </c>
      <c r="F5688" s="129">
        <f t="shared" si="513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14">C5689+D5665</f>
        <v>43178</v>
      </c>
      <c r="E5689" s="54">
        <f>13+7</f>
        <v>20</v>
      </c>
      <c r="F5689" s="139">
        <f t="shared" si="513"/>
        <v>660</v>
      </c>
    </row>
    <row r="5690" spans="1:10" x14ac:dyDescent="0.25">
      <c r="A5690" s="203" t="s">
        <v>22</v>
      </c>
      <c r="B5690" s="136">
        <v>44130</v>
      </c>
      <c r="C5690" s="48">
        <v>3694</v>
      </c>
      <c r="D5690" s="144">
        <f t="shared" si="514"/>
        <v>530987</v>
      </c>
      <c r="E5690" s="48">
        <v>146</v>
      </c>
      <c r="F5690" s="128">
        <f t="shared" si="513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14"/>
        <v>144505</v>
      </c>
      <c r="E5691" s="4">
        <v>64</v>
      </c>
      <c r="F5691" s="129">
        <f t="shared" si="513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14"/>
        <v>638</v>
      </c>
      <c r="F5692" s="129">
        <f t="shared" si="513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14"/>
        <v>13227</v>
      </c>
      <c r="E5693" s="4">
        <v>1</v>
      </c>
      <c r="F5693" s="129">
        <f t="shared" si="513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14"/>
        <v>12981</v>
      </c>
      <c r="E5694" s="4">
        <v>2</v>
      </c>
      <c r="F5694" s="129">
        <f t="shared" si="513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14"/>
        <v>77266</v>
      </c>
      <c r="E5695" s="4">
        <v>32</v>
      </c>
      <c r="F5695" s="129">
        <f t="shared" si="513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14"/>
        <v>2383</v>
      </c>
      <c r="E5696" s="4">
        <v>3</v>
      </c>
      <c r="F5696" s="129">
        <f t="shared" si="513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14"/>
        <v>14292</v>
      </c>
      <c r="E5697" s="4">
        <v>11</v>
      </c>
      <c r="F5697" s="129">
        <f t="shared" si="513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14"/>
        <v>145</v>
      </c>
      <c r="F5698" s="129">
        <f t="shared" si="513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14"/>
        <v>17652</v>
      </c>
      <c r="E5699" s="4">
        <v>10</v>
      </c>
      <c r="F5699" s="129">
        <f t="shared" si="513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14"/>
        <v>2524</v>
      </c>
      <c r="F5700" s="129">
        <f t="shared" si="513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14"/>
        <v>7173</v>
      </c>
      <c r="E5701" s="4">
        <v>13</v>
      </c>
      <c r="F5701" s="129">
        <f t="shared" si="513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14"/>
        <v>43601</v>
      </c>
      <c r="E5702" s="4">
        <v>11</v>
      </c>
      <c r="F5702" s="129">
        <f t="shared" si="513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14"/>
        <v>229</v>
      </c>
      <c r="F5703" s="129">
        <f t="shared" si="513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14"/>
        <v>19778</v>
      </c>
      <c r="E5704" s="4">
        <v>6</v>
      </c>
      <c r="F5704" s="129">
        <f t="shared" si="513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14"/>
        <v>22068</v>
      </c>
      <c r="E5705" s="4">
        <v>12</v>
      </c>
      <c r="F5705" s="129">
        <f t="shared" si="513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14"/>
        <v>18125</v>
      </c>
      <c r="E5706" s="4">
        <v>24</v>
      </c>
      <c r="F5706" s="129">
        <f t="shared" si="513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14"/>
        <v>1396</v>
      </c>
      <c r="F5707" s="129">
        <f t="shared" si="513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14"/>
        <v>5619</v>
      </c>
      <c r="F5708" s="129">
        <f t="shared" si="513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14"/>
        <v>8555</v>
      </c>
      <c r="E5709" s="4">
        <v>3</v>
      </c>
      <c r="F5709" s="129">
        <f t="shared" si="513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14"/>
        <v>96240</v>
      </c>
      <c r="E5710" s="4">
        <v>37</v>
      </c>
      <c r="F5710" s="129">
        <f t="shared" si="513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>C5711+D5687</f>
        <v>8625</v>
      </c>
      <c r="E5711" s="4">
        <v>1</v>
      </c>
      <c r="F5711" s="129">
        <f t="shared" si="513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>C5712+D5688</f>
        <v>10357</v>
      </c>
      <c r="E5712" s="4">
        <v>4</v>
      </c>
      <c r="F5712" s="129">
        <f t="shared" si="513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15">C5713+D5689</f>
        <v>44127</v>
      </c>
      <c r="E5713" s="54">
        <v>26</v>
      </c>
      <c r="F5713" s="139">
        <f t="shared" si="513"/>
        <v>686</v>
      </c>
      <c r="J5713" s="88"/>
    </row>
    <row r="5714" spans="1:10" x14ac:dyDescent="0.25">
      <c r="A5714" s="203" t="s">
        <v>22</v>
      </c>
      <c r="B5714" s="136">
        <v>44131</v>
      </c>
      <c r="C5714" s="48">
        <v>4221</v>
      </c>
      <c r="D5714" s="144">
        <f t="shared" si="515"/>
        <v>535208</v>
      </c>
      <c r="E5714" s="48">
        <f>107+71</f>
        <v>178</v>
      </c>
      <c r="F5714" s="128">
        <f t="shared" si="513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15"/>
        <v>145103</v>
      </c>
      <c r="E5715" s="4">
        <f>30+17+1</f>
        <v>48</v>
      </c>
      <c r="F5715" s="129">
        <f t="shared" si="513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15"/>
        <v>666</v>
      </c>
      <c r="F5716" s="129">
        <f t="shared" si="513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15"/>
        <v>13394</v>
      </c>
      <c r="E5717" s="4">
        <f>4+3</f>
        <v>7</v>
      </c>
      <c r="F5717" s="129">
        <f t="shared" si="513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15"/>
        <v>13299</v>
      </c>
      <c r="E5718" s="4">
        <f>13+11</f>
        <v>24</v>
      </c>
      <c r="F5718" s="129">
        <f t="shared" si="513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15"/>
        <v>79085</v>
      </c>
      <c r="E5719" s="4">
        <f>19+19</f>
        <v>38</v>
      </c>
      <c r="F5719" s="129">
        <f t="shared" si="513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15"/>
        <v>2400</v>
      </c>
      <c r="F5720" s="129">
        <f t="shared" si="513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15"/>
        <v>14687</v>
      </c>
      <c r="E5721" s="4">
        <f>4+2</f>
        <v>6</v>
      </c>
      <c r="F5721" s="129">
        <f t="shared" si="513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15"/>
        <v>148</v>
      </c>
      <c r="F5722" s="129">
        <f t="shared" si="513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15"/>
        <v>17687</v>
      </c>
      <c r="E5723" s="4">
        <f>9+2</f>
        <v>11</v>
      </c>
      <c r="F5723" s="129">
        <f t="shared" si="513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15"/>
        <v>2668</v>
      </c>
      <c r="E5724" s="4">
        <v>4</v>
      </c>
      <c r="F5724" s="129">
        <f t="shared" si="513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15"/>
        <v>7296</v>
      </c>
      <c r="E5725" s="4">
        <f>5+3</f>
        <v>8</v>
      </c>
      <c r="F5725" s="129">
        <f t="shared" si="513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15"/>
        <v>44372</v>
      </c>
      <c r="E5726" s="4">
        <f>8+4</f>
        <v>12</v>
      </c>
      <c r="F5726" s="129">
        <f t="shared" si="513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15"/>
        <v>240</v>
      </c>
      <c r="F5727" s="129">
        <f t="shared" si="513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15"/>
        <v>20192</v>
      </c>
      <c r="E5728" s="4">
        <f>5+5</f>
        <v>10</v>
      </c>
      <c r="F5728" s="129">
        <f t="shared" si="513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15"/>
        <v>22529</v>
      </c>
      <c r="E5729" s="4">
        <f>5+4</f>
        <v>9</v>
      </c>
      <c r="F5729" s="129">
        <f t="shared" si="513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15"/>
        <v>18281</v>
      </c>
      <c r="E5730" s="4">
        <f>5+4</f>
        <v>9</v>
      </c>
      <c r="F5730" s="129">
        <f t="shared" si="513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15"/>
        <v>1436</v>
      </c>
      <c r="E5731" s="4">
        <f>1</f>
        <v>1</v>
      </c>
      <c r="F5731" s="129">
        <f t="shared" si="513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15"/>
        <v>6065</v>
      </c>
      <c r="E5732" s="4">
        <f>1</f>
        <v>1</v>
      </c>
      <c r="F5732" s="129">
        <f t="shared" si="513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15"/>
        <v>8646</v>
      </c>
      <c r="E5733" s="4">
        <f>1</f>
        <v>1</v>
      </c>
      <c r="F5733" s="129">
        <f t="shared" si="513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15"/>
        <v>98475</v>
      </c>
      <c r="E5734" s="4">
        <f>19+10</f>
        <v>29</v>
      </c>
      <c r="F5734" s="129">
        <f t="shared" si="513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>C5735+D5711</f>
        <v>8769</v>
      </c>
      <c r="E5735" s="4">
        <f>1</f>
        <v>1</v>
      </c>
      <c r="F5735" s="129">
        <f t="shared" si="513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>C5736+D5712</f>
        <v>10588</v>
      </c>
      <c r="E5736" s="4">
        <v>5</v>
      </c>
      <c r="F5736" s="129">
        <f t="shared" si="513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16">C5737+D5713</f>
        <v>45567</v>
      </c>
      <c r="E5737" s="54">
        <f>12+11</f>
        <v>23</v>
      </c>
      <c r="F5737" s="139">
        <f t="shared" si="513"/>
        <v>709</v>
      </c>
    </row>
    <row r="5738" spans="1:6" x14ac:dyDescent="0.25">
      <c r="A5738" s="203" t="s">
        <v>22</v>
      </c>
      <c r="B5738" s="136">
        <v>44132</v>
      </c>
      <c r="C5738" s="4">
        <v>4238</v>
      </c>
      <c r="D5738" s="144">
        <f t="shared" si="516"/>
        <v>539446</v>
      </c>
      <c r="E5738" s="4">
        <f>61+61</f>
        <v>122</v>
      </c>
      <c r="F5738" s="128">
        <f t="shared" ref="F5738:F5801" si="517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16"/>
        <v>145744</v>
      </c>
      <c r="E5739" s="4">
        <f>20+16</f>
        <v>36</v>
      </c>
      <c r="F5739" s="129">
        <f t="shared" si="517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16"/>
        <v>720</v>
      </c>
      <c r="F5740" s="129">
        <f t="shared" si="517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16"/>
        <v>13580</v>
      </c>
      <c r="E5741" s="4">
        <f>1+5</f>
        <v>6</v>
      </c>
      <c r="F5741" s="129">
        <f t="shared" si="517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16"/>
        <v>13594</v>
      </c>
      <c r="F5742" s="129">
        <f t="shared" si="517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16"/>
        <v>80933</v>
      </c>
      <c r="E5743" s="4">
        <f>16+17</f>
        <v>33</v>
      </c>
      <c r="F5743" s="129">
        <f t="shared" si="517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16"/>
        <v>2469</v>
      </c>
      <c r="E5744" s="4">
        <f>2+2</f>
        <v>4</v>
      </c>
      <c r="F5744" s="129">
        <f t="shared" si="517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16"/>
        <v>15030</v>
      </c>
      <c r="E5745" s="4">
        <v>10</v>
      </c>
      <c r="F5745" s="129">
        <f t="shared" si="517"/>
        <v>267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16"/>
        <v>149</v>
      </c>
      <c r="F5746" s="129">
        <f t="shared" si="517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16"/>
        <v>17740</v>
      </c>
      <c r="E5747" s="4">
        <f>1+1</f>
        <v>2</v>
      </c>
      <c r="F5747" s="129">
        <f t="shared" si="517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16"/>
        <v>2829</v>
      </c>
      <c r="F5748" s="129">
        <f t="shared" si="517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16"/>
        <v>7386</v>
      </c>
      <c r="E5749" s="4">
        <f>4</f>
        <v>4</v>
      </c>
      <c r="F5749" s="129">
        <f t="shared" si="517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16"/>
        <v>45047</v>
      </c>
      <c r="E5750" s="4">
        <f>7+5</f>
        <v>12</v>
      </c>
      <c r="F5750" s="129">
        <f t="shared" si="517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16"/>
        <v>249</v>
      </c>
      <c r="F5751" s="129">
        <f t="shared" si="517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16"/>
        <v>20576</v>
      </c>
      <c r="E5752" s="4">
        <f>8+5</f>
        <v>13</v>
      </c>
      <c r="F5752" s="129">
        <f t="shared" si="517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16"/>
        <v>22979</v>
      </c>
      <c r="E5753" s="4">
        <f>5+5</f>
        <v>10</v>
      </c>
      <c r="F5753" s="129">
        <f t="shared" si="517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16"/>
        <v>18500</v>
      </c>
      <c r="E5754" s="4">
        <f>7+5</f>
        <v>12</v>
      </c>
      <c r="F5754" s="129">
        <f t="shared" si="517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16"/>
        <v>1580</v>
      </c>
      <c r="E5755" s="4">
        <f>2+3</f>
        <v>5</v>
      </c>
      <c r="F5755" s="129">
        <f t="shared" si="517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16"/>
        <v>6232</v>
      </c>
      <c r="F5756" s="129">
        <f t="shared" si="517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16"/>
        <v>8885</v>
      </c>
      <c r="F5757" s="129">
        <f t="shared" si="517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16"/>
        <v>100478</v>
      </c>
      <c r="E5758" s="4">
        <f>24+19</f>
        <v>43</v>
      </c>
      <c r="F5758" s="129">
        <f t="shared" si="517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>C5759+D5735</f>
        <v>9061</v>
      </c>
      <c r="E5759" s="4">
        <f>2+2</f>
        <v>4</v>
      </c>
      <c r="F5759" s="129">
        <f t="shared" si="517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>C5760+D5736</f>
        <v>10824</v>
      </c>
      <c r="E5760" s="4">
        <f>3+1</f>
        <v>4</v>
      </c>
      <c r="F5760" s="129">
        <f t="shared" si="517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17"/>
        <v>733</v>
      </c>
    </row>
    <row r="5762" spans="1:6" x14ac:dyDescent="0.25">
      <c r="A5762" s="203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17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18">C5763+D5739</f>
        <v>146256</v>
      </c>
      <c r="E5763" s="4">
        <f>15+23</f>
        <v>38</v>
      </c>
      <c r="F5763" s="129">
        <f t="shared" si="517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18"/>
        <v>736</v>
      </c>
      <c r="F5764" s="129">
        <f t="shared" si="517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18"/>
        <v>13710</v>
      </c>
      <c r="E5765" s="4">
        <f>2+2</f>
        <v>4</v>
      </c>
      <c r="F5765" s="129">
        <f t="shared" si="517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18"/>
        <v>13878</v>
      </c>
      <c r="E5766" s="4">
        <f>2</f>
        <v>2</v>
      </c>
      <c r="F5766" s="129">
        <f t="shared" si="517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18"/>
        <v>82390</v>
      </c>
      <c r="E5767" s="4">
        <f>19+16</f>
        <v>35</v>
      </c>
      <c r="F5767" s="129">
        <f t="shared" si="517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18"/>
        <v>2530</v>
      </c>
      <c r="F5768" s="129">
        <f t="shared" si="517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18"/>
        <v>15390</v>
      </c>
      <c r="E5769" s="4">
        <f>2+2</f>
        <v>4</v>
      </c>
      <c r="F5769" s="129">
        <f t="shared" si="517"/>
        <v>271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18"/>
        <v>150</v>
      </c>
      <c r="F5770" s="129">
        <f t="shared" si="517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18"/>
        <v>17786</v>
      </c>
      <c r="E5771" s="4">
        <f>2+2</f>
        <v>4</v>
      </c>
      <c r="F5771" s="129">
        <f t="shared" si="517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18"/>
        <v>3060</v>
      </c>
      <c r="E5772" s="4">
        <f>3</f>
        <v>3</v>
      </c>
      <c r="F5772" s="129">
        <f t="shared" si="517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18"/>
        <v>7441</v>
      </c>
      <c r="F5773" s="129">
        <f t="shared" si="517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18"/>
        <v>45860</v>
      </c>
      <c r="E5774" s="4">
        <f>13+3</f>
        <v>16</v>
      </c>
      <c r="F5774" s="129">
        <f t="shared" si="517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18"/>
        <v>260</v>
      </c>
      <c r="F5775" s="129">
        <f t="shared" si="517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18"/>
        <v>21075</v>
      </c>
      <c r="E5776" s="4">
        <f>2</f>
        <v>2</v>
      </c>
      <c r="F5776" s="129">
        <f t="shared" si="517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17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17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18"/>
        <v>1877</v>
      </c>
      <c r="E5779" s="4">
        <f>1</f>
        <v>1</v>
      </c>
      <c r="F5779" s="129">
        <f t="shared" si="517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17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18"/>
        <v>9135</v>
      </c>
      <c r="E5781" s="4">
        <f>6+5</f>
        <v>11</v>
      </c>
      <c r="F5781" s="129">
        <f t="shared" si="517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17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17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18"/>
        <v>11028</v>
      </c>
      <c r="E5784" s="4">
        <f>3+1</f>
        <v>4</v>
      </c>
      <c r="F5784" s="129">
        <f t="shared" si="517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17"/>
        <v>748</v>
      </c>
    </row>
    <row r="5786" spans="1:6" x14ac:dyDescent="0.25">
      <c r="A5786" s="203" t="s">
        <v>22</v>
      </c>
      <c r="B5786" s="136">
        <v>44134</v>
      </c>
      <c r="C5786" s="4">
        <v>3830</v>
      </c>
      <c r="D5786" s="144">
        <f t="shared" si="518"/>
        <v>547011</v>
      </c>
      <c r="E5786" s="4">
        <f>70+47</f>
        <v>117</v>
      </c>
      <c r="F5786" s="128">
        <f t="shared" si="517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18"/>
        <v>146760</v>
      </c>
      <c r="E5787" s="4">
        <f>14+22</f>
        <v>36</v>
      </c>
      <c r="F5787" s="129">
        <f t="shared" si="517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18"/>
        <v>819</v>
      </c>
      <c r="F5788" s="129">
        <f t="shared" si="517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18"/>
        <v>13913</v>
      </c>
      <c r="E5789" s="4">
        <f>1</f>
        <v>1</v>
      </c>
      <c r="F5789" s="129">
        <f t="shared" si="517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18"/>
        <v>14187</v>
      </c>
      <c r="E5790" s="4">
        <f>1+1</f>
        <v>2</v>
      </c>
      <c r="F5790" s="129">
        <f t="shared" si="517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18"/>
        <v>83991</v>
      </c>
      <c r="E5791" s="4">
        <f>15+12</f>
        <v>27</v>
      </c>
      <c r="F5791" s="129">
        <f t="shared" si="517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18"/>
        <v>2539</v>
      </c>
      <c r="F5792" s="129">
        <f t="shared" si="517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18"/>
        <v>15733</v>
      </c>
      <c r="E5793" s="4">
        <f>2+3</f>
        <v>5</v>
      </c>
      <c r="F5793" s="129">
        <f t="shared" si="517"/>
        <v>276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18"/>
        <v>149</v>
      </c>
      <c r="F5794" s="129">
        <f t="shared" si="517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18"/>
        <v>17823</v>
      </c>
      <c r="E5795" s="4">
        <f>1+3</f>
        <v>4</v>
      </c>
      <c r="F5795" s="129">
        <f t="shared" si="517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18"/>
        <v>3189</v>
      </c>
      <c r="F5796" s="129">
        <f t="shared" si="517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18"/>
        <v>7514</v>
      </c>
      <c r="E5797" s="4">
        <f>3+3</f>
        <v>6</v>
      </c>
      <c r="F5797" s="129">
        <f t="shared" si="517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18"/>
        <v>46564</v>
      </c>
      <c r="E5798" s="4">
        <f>14+3</f>
        <v>17</v>
      </c>
      <c r="F5798" s="129">
        <f t="shared" si="517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18"/>
        <v>270</v>
      </c>
      <c r="F5799" s="129">
        <f t="shared" si="517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18"/>
        <v>21771</v>
      </c>
      <c r="E5800" s="4">
        <f>12+8</f>
        <v>20</v>
      </c>
      <c r="F5800" s="129">
        <f t="shared" si="517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18"/>
        <v>23738</v>
      </c>
      <c r="E5801" s="4">
        <f>4+1</f>
        <v>5</v>
      </c>
      <c r="F5801" s="129">
        <f t="shared" si="517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18"/>
        <v>18600</v>
      </c>
      <c r="E5802" s="4">
        <f>8+6</f>
        <v>14</v>
      </c>
      <c r="F5802" s="129">
        <f t="shared" ref="F5802:F5865" si="519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18"/>
        <v>2256</v>
      </c>
      <c r="E5803" s="4">
        <f>7+10</f>
        <v>17</v>
      </c>
      <c r="F5803" s="129">
        <f t="shared" si="519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18"/>
        <v>6814</v>
      </c>
      <c r="F5804" s="129">
        <f t="shared" si="519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18"/>
        <v>9349</v>
      </c>
      <c r="E5805" s="4">
        <f>1+1</f>
        <v>2</v>
      </c>
      <c r="F5805" s="129">
        <f t="shared" si="519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18"/>
        <v>104630</v>
      </c>
      <c r="E5806" s="4">
        <f>29+20</f>
        <v>49</v>
      </c>
      <c r="F5806" s="129">
        <f t="shared" si="519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18"/>
        <v>9578</v>
      </c>
      <c r="E5807" s="4">
        <f>4+4</f>
        <v>8</v>
      </c>
      <c r="F5807" s="129">
        <f t="shared" si="519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18"/>
        <v>11187</v>
      </c>
      <c r="E5808" s="4">
        <f>2</f>
        <v>2</v>
      </c>
      <c r="F5808" s="129">
        <f t="shared" si="519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19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18"/>
        <v>549365</v>
      </c>
      <c r="E5810" s="50">
        <f>69+44+1</f>
        <v>114</v>
      </c>
      <c r="F5810" s="128">
        <f t="shared" si="519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18"/>
        <v>147201</v>
      </c>
      <c r="E5811" s="4">
        <f>4+14</f>
        <v>18</v>
      </c>
      <c r="F5811" s="129">
        <f t="shared" si="519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18"/>
        <v>896</v>
      </c>
      <c r="F5812" s="129">
        <f t="shared" si="519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18"/>
        <v>14050</v>
      </c>
      <c r="E5813" s="4">
        <f>2+1</f>
        <v>3</v>
      </c>
      <c r="F5813" s="129">
        <f t="shared" si="519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18"/>
        <v>14382</v>
      </c>
      <c r="E5814" s="4">
        <f>1+1</f>
        <v>2</v>
      </c>
      <c r="F5814" s="129">
        <f t="shared" si="519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18"/>
        <v>85415</v>
      </c>
      <c r="E5815" s="4">
        <f>12+9</f>
        <v>21</v>
      </c>
      <c r="F5815" s="129">
        <f t="shared" si="519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18"/>
        <v>2549</v>
      </c>
      <c r="F5816" s="129">
        <f t="shared" si="519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18"/>
        <v>15997</v>
      </c>
      <c r="E5817" s="4">
        <f>1</f>
        <v>1</v>
      </c>
      <c r="F5817" s="129">
        <f t="shared" si="519"/>
        <v>277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18"/>
        <v>153</v>
      </c>
      <c r="F5818" s="129">
        <f t="shared" si="519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18"/>
        <v>17856</v>
      </c>
      <c r="E5819" s="4">
        <f>3+1</f>
        <v>4</v>
      </c>
      <c r="F5819" s="129">
        <f t="shared" si="519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18"/>
        <v>3279</v>
      </c>
      <c r="E5820" s="4">
        <f>1</f>
        <v>1</v>
      </c>
      <c r="F5820" s="129">
        <f t="shared" si="519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18"/>
        <v>7569</v>
      </c>
      <c r="E5821" s="4">
        <f>2</f>
        <v>2</v>
      </c>
      <c r="F5821" s="129">
        <f t="shared" si="519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18"/>
        <v>47073</v>
      </c>
      <c r="E5822" s="4">
        <f>4+1</f>
        <v>5</v>
      </c>
      <c r="F5822" s="129">
        <f t="shared" si="519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18"/>
        <v>261</v>
      </c>
      <c r="F5823" s="129">
        <f t="shared" si="519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18"/>
        <v>22238</v>
      </c>
      <c r="E5824" s="4">
        <v>0</v>
      </c>
      <c r="F5824" s="129">
        <f t="shared" si="519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18"/>
        <v>23993</v>
      </c>
      <c r="E5825" s="4">
        <f>1+2</f>
        <v>3</v>
      </c>
      <c r="F5825" s="129">
        <f t="shared" si="519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20">C5826+D5802</f>
        <v>18746</v>
      </c>
      <c r="E5826" s="4">
        <f>4+3</f>
        <v>7</v>
      </c>
      <c r="F5826" s="129">
        <f t="shared" si="519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20"/>
        <v>2366</v>
      </c>
      <c r="F5827" s="129">
        <f t="shared" si="519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20"/>
        <v>6981</v>
      </c>
      <c r="F5828" s="129">
        <f t="shared" si="519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20"/>
        <v>9508</v>
      </c>
      <c r="E5829" s="4">
        <f>3</f>
        <v>3</v>
      </c>
      <c r="F5829" s="129">
        <f t="shared" si="519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20"/>
        <v>106348</v>
      </c>
      <c r="E5830" s="4">
        <f>5+11</f>
        <v>16</v>
      </c>
      <c r="F5830" s="129">
        <f t="shared" si="519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20"/>
        <v>9799</v>
      </c>
      <c r="E5831" s="4">
        <f>3</f>
        <v>3</v>
      </c>
      <c r="F5831" s="129">
        <f t="shared" si="519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20"/>
        <v>11376</v>
      </c>
      <c r="E5832" s="4">
        <f>1</f>
        <v>1</v>
      </c>
      <c r="F5832" s="129">
        <f t="shared" si="519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19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21">C5834+D5810</f>
        <v>550939</v>
      </c>
      <c r="E5834" s="48">
        <v>56</v>
      </c>
      <c r="F5834" s="128">
        <f t="shared" si="519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21"/>
        <v>147459</v>
      </c>
      <c r="E5835" s="4">
        <v>20</v>
      </c>
      <c r="F5835" s="129">
        <f t="shared" si="519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21"/>
        <v>935</v>
      </c>
      <c r="F5836" s="129">
        <f t="shared" si="519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21"/>
        <v>14191</v>
      </c>
      <c r="E5837" s="4">
        <v>5</v>
      </c>
      <c r="F5837" s="129">
        <f t="shared" si="519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21"/>
        <v>14475</v>
      </c>
      <c r="E5838" s="4">
        <v>1</v>
      </c>
      <c r="F5838" s="129">
        <f t="shared" si="519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21"/>
        <v>86318</v>
      </c>
      <c r="E5839" s="4">
        <v>18</v>
      </c>
      <c r="F5839" s="129">
        <f t="shared" si="519"/>
        <v>1309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21"/>
        <v>2553</v>
      </c>
      <c r="F5840" s="129">
        <f t="shared" si="519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21"/>
        <v>16195</v>
      </c>
      <c r="E5841" s="4">
        <v>1</v>
      </c>
      <c r="F5841" s="129">
        <f t="shared" si="519"/>
        <v>278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21"/>
        <v>151</v>
      </c>
      <c r="E5842" s="4">
        <v>1</v>
      </c>
      <c r="F5842" s="129">
        <f t="shared" si="519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21"/>
        <v>17884</v>
      </c>
      <c r="E5843" s="4">
        <v>1</v>
      </c>
      <c r="F5843" s="129">
        <f t="shared" si="519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21"/>
        <v>3361</v>
      </c>
      <c r="F5844" s="129">
        <f t="shared" si="519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21"/>
        <v>7604</v>
      </c>
      <c r="F5845" s="129">
        <f t="shared" si="519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21"/>
        <v>47280</v>
      </c>
      <c r="E5846" s="4">
        <v>1</v>
      </c>
      <c r="F5846" s="129">
        <f t="shared" si="519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21"/>
        <v>278</v>
      </c>
      <c r="F5847" s="129">
        <f t="shared" si="519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21"/>
        <v>22494</v>
      </c>
      <c r="E5848" s="4">
        <v>1</v>
      </c>
      <c r="F5848" s="129">
        <f t="shared" si="519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21"/>
        <v>24137</v>
      </c>
      <c r="E5849" s="4">
        <v>2</v>
      </c>
      <c r="F5849" s="129">
        <f t="shared" si="519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21"/>
        <v>18885</v>
      </c>
      <c r="E5850" s="4">
        <v>6</v>
      </c>
      <c r="F5850" s="129">
        <f t="shared" si="519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21"/>
        <v>2425</v>
      </c>
      <c r="F5851" s="129">
        <f t="shared" si="519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21"/>
        <v>7229</v>
      </c>
      <c r="F5852" s="129">
        <f t="shared" si="519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21"/>
        <v>9684</v>
      </c>
      <c r="E5853" s="4">
        <v>2</v>
      </c>
      <c r="F5853" s="129">
        <f t="shared" si="519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21"/>
        <v>107518</v>
      </c>
      <c r="E5854" s="4">
        <v>17</v>
      </c>
      <c r="F5854" s="129">
        <f t="shared" si="519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21"/>
        <v>9981</v>
      </c>
      <c r="E5855" s="4">
        <v>1</v>
      </c>
      <c r="F5855" s="129">
        <f t="shared" si="519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21"/>
        <v>11581</v>
      </c>
      <c r="E5856" s="4">
        <v>2</v>
      </c>
      <c r="F5856" s="129">
        <f t="shared" si="519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19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21"/>
        <v>553961</v>
      </c>
      <c r="E5858" s="4">
        <v>204</v>
      </c>
      <c r="F5858" s="128">
        <f t="shared" si="519"/>
        <v>17869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21"/>
        <v>147884</v>
      </c>
      <c r="E5859" s="4">
        <v>35</v>
      </c>
      <c r="F5859" s="129">
        <f t="shared" si="519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21"/>
        <v>980</v>
      </c>
      <c r="F5860" s="129">
        <f t="shared" si="519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21"/>
        <v>14264</v>
      </c>
      <c r="E5861" s="4">
        <v>2</v>
      </c>
      <c r="F5861" s="129">
        <f t="shared" si="519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21"/>
        <v>14791</v>
      </c>
      <c r="E5862" s="4">
        <v>5</v>
      </c>
      <c r="F5862" s="129">
        <f t="shared" si="519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21"/>
        <v>86951</v>
      </c>
      <c r="E5863" s="4">
        <v>27</v>
      </c>
      <c r="F5863" s="129">
        <f t="shared" si="519"/>
        <v>1336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21"/>
        <v>2593</v>
      </c>
      <c r="F5864" s="129">
        <f t="shared" si="519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21"/>
        <v>16426</v>
      </c>
      <c r="E5865" s="4">
        <v>9</v>
      </c>
      <c r="F5865" s="129">
        <f t="shared" si="519"/>
        <v>287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21"/>
        <v>158</v>
      </c>
      <c r="F5866" s="129">
        <f t="shared" ref="F5866:F5930" si="522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21"/>
        <v>17918</v>
      </c>
      <c r="E5867" s="4">
        <v>3</v>
      </c>
      <c r="F5867" s="129">
        <f t="shared" si="522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21"/>
        <v>3480</v>
      </c>
      <c r="E5868" s="4">
        <v>3</v>
      </c>
      <c r="F5868" s="129">
        <f t="shared" si="522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21"/>
        <v>7640</v>
      </c>
      <c r="E5869" s="4">
        <v>2</v>
      </c>
      <c r="F5869" s="129">
        <f t="shared" si="522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21"/>
        <v>47793</v>
      </c>
      <c r="E5870" s="4">
        <v>19</v>
      </c>
      <c r="F5870" s="129">
        <f t="shared" si="522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21"/>
        <v>282</v>
      </c>
      <c r="F5871" s="129">
        <f t="shared" si="522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21"/>
        <v>22744</v>
      </c>
      <c r="E5872" s="4">
        <v>2</v>
      </c>
      <c r="F5872" s="129">
        <f t="shared" si="522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21"/>
        <v>24412</v>
      </c>
      <c r="E5873" s="4">
        <v>17</v>
      </c>
      <c r="F5873" s="129">
        <f t="shared" si="522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21"/>
        <v>18949</v>
      </c>
      <c r="E5874" s="4">
        <v>7</v>
      </c>
      <c r="F5874" s="129">
        <f t="shared" si="522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21"/>
        <v>2729</v>
      </c>
      <c r="F5875" s="129">
        <f t="shared" si="522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21"/>
        <v>7609</v>
      </c>
      <c r="E5876" s="4">
        <v>17</v>
      </c>
      <c r="F5876" s="129">
        <f t="shared" si="522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21"/>
        <v>9815</v>
      </c>
      <c r="E5877" s="4">
        <v>6</v>
      </c>
      <c r="F5877" s="129">
        <f t="shared" si="522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21"/>
        <v>109311</v>
      </c>
      <c r="E5878" s="4">
        <v>75</v>
      </c>
      <c r="F5878" s="129">
        <f t="shared" si="522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21"/>
        <v>10092</v>
      </c>
      <c r="E5879" s="4">
        <v>1</v>
      </c>
      <c r="F5879" s="129">
        <f t="shared" si="522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21"/>
        <v>11708</v>
      </c>
      <c r="E5880" s="4">
        <v>7</v>
      </c>
      <c r="F5880" s="129">
        <f t="shared" si="522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22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21"/>
        <v>557576</v>
      </c>
      <c r="E5882" s="4">
        <v>188</v>
      </c>
      <c r="F5882" s="128">
        <f t="shared" si="522"/>
        <v>18057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21"/>
        <v>148344</v>
      </c>
      <c r="E5883" s="4">
        <v>25</v>
      </c>
      <c r="F5883" s="129">
        <f t="shared" si="522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21"/>
        <v>1011</v>
      </c>
      <c r="F5884" s="129">
        <f t="shared" si="522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21"/>
        <v>14395</v>
      </c>
      <c r="E5885" s="4">
        <v>7</v>
      </c>
      <c r="F5885" s="129">
        <f t="shared" si="522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21"/>
        <v>15212</v>
      </c>
      <c r="F5886" s="129">
        <f t="shared" si="522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21"/>
        <v>88290</v>
      </c>
      <c r="E5887" s="4">
        <v>22</v>
      </c>
      <c r="F5887" s="129">
        <f t="shared" si="522"/>
        <v>1358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21"/>
        <v>2619</v>
      </c>
      <c r="F5888" s="129">
        <f t="shared" si="522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21"/>
        <v>16684</v>
      </c>
      <c r="E5889" s="4">
        <v>7</v>
      </c>
      <c r="F5889" s="129">
        <f t="shared" si="522"/>
        <v>294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21"/>
        <v>158</v>
      </c>
      <c r="F5890" s="129">
        <f t="shared" si="522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21"/>
        <v>17940</v>
      </c>
      <c r="E5891" s="4">
        <v>2</v>
      </c>
      <c r="F5891" s="129">
        <f t="shared" si="522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21"/>
        <v>3564</v>
      </c>
      <c r="F5892" s="129">
        <f t="shared" si="522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21"/>
        <v>7682</v>
      </c>
      <c r="E5893" s="4">
        <v>9</v>
      </c>
      <c r="F5893" s="129">
        <f t="shared" si="522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21"/>
        <v>48308</v>
      </c>
      <c r="E5894" s="4">
        <v>15</v>
      </c>
      <c r="F5894" s="129">
        <f t="shared" si="522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21"/>
        <v>298</v>
      </c>
      <c r="E5895" s="4">
        <v>1</v>
      </c>
      <c r="F5895" s="129">
        <f t="shared" si="522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21"/>
        <v>23678</v>
      </c>
      <c r="E5896" s="4">
        <v>5</v>
      </c>
      <c r="F5896" s="129">
        <f t="shared" si="522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21"/>
        <v>24807</v>
      </c>
      <c r="E5897" s="4">
        <v>3</v>
      </c>
      <c r="F5897" s="129">
        <f t="shared" si="522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23">C5898+D5874</f>
        <v>19059</v>
      </c>
      <c r="E5898" s="4">
        <v>8</v>
      </c>
      <c r="F5898" s="129">
        <f t="shared" si="522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23"/>
        <v>2893</v>
      </c>
      <c r="E5899" s="4">
        <v>1</v>
      </c>
      <c r="F5899" s="129">
        <f t="shared" si="522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23"/>
        <v>7856</v>
      </c>
      <c r="E5900" s="4">
        <v>21</v>
      </c>
      <c r="F5900" s="129">
        <f t="shared" si="522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23"/>
        <v>10065</v>
      </c>
      <c r="E5901" s="4">
        <v>6</v>
      </c>
      <c r="F5901" s="129">
        <f t="shared" si="522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23"/>
        <v>111075</v>
      </c>
      <c r="E5902" s="4">
        <v>85</v>
      </c>
      <c r="F5902" s="129">
        <f t="shared" si="522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23"/>
        <v>10174</v>
      </c>
      <c r="E5903" s="4">
        <v>1</v>
      </c>
      <c r="F5903" s="129">
        <f t="shared" si="522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23"/>
        <v>11974</v>
      </c>
      <c r="E5904" s="4">
        <v>2</v>
      </c>
      <c r="F5904" s="129">
        <f t="shared" si="522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22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69" si="524">C5906+D5882</f>
        <v>560699</v>
      </c>
      <c r="E5906" s="25">
        <v>228</v>
      </c>
      <c r="F5906" s="128">
        <f t="shared" si="522"/>
        <v>18285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24"/>
        <v>148820</v>
      </c>
      <c r="E5907" s="25">
        <v>20</v>
      </c>
      <c r="F5907" s="129">
        <f t="shared" si="522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24"/>
        <v>1073</v>
      </c>
      <c r="E5908" s="25"/>
      <c r="F5908" s="129">
        <f t="shared" si="522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24"/>
        <v>14493</v>
      </c>
      <c r="E5909" s="25">
        <v>7</v>
      </c>
      <c r="F5909" s="129">
        <f t="shared" si="522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24"/>
        <v>15712</v>
      </c>
      <c r="E5910" s="25">
        <v>6</v>
      </c>
      <c r="F5910" s="129">
        <f t="shared" si="522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24"/>
        <v>89486</v>
      </c>
      <c r="E5911" s="25">
        <v>37</v>
      </c>
      <c r="F5911" s="129">
        <f t="shared" si="522"/>
        <v>1395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24"/>
        <v>2633</v>
      </c>
      <c r="E5912" s="25">
        <v>2</v>
      </c>
      <c r="F5912" s="129">
        <f t="shared" si="522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24"/>
        <v>17009</v>
      </c>
      <c r="E5913" s="25">
        <v>7</v>
      </c>
      <c r="F5913" s="129">
        <f t="shared" si="522"/>
        <v>301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24"/>
        <v>163</v>
      </c>
      <c r="E5914" s="25">
        <v>1</v>
      </c>
      <c r="F5914" s="129">
        <f t="shared" si="522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24"/>
        <v>17962</v>
      </c>
      <c r="E5915" s="25"/>
      <c r="F5915" s="129">
        <f t="shared" si="522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24"/>
        <v>3701</v>
      </c>
      <c r="E5916" s="25"/>
      <c r="F5916" s="129">
        <f t="shared" si="522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24"/>
        <v>7743</v>
      </c>
      <c r="E5917" s="25"/>
      <c r="F5917" s="129">
        <f t="shared" si="522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24"/>
        <v>48826</v>
      </c>
      <c r="E5918" s="25">
        <v>41</v>
      </c>
      <c r="F5918" s="129">
        <f t="shared" si="522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24"/>
        <v>287</v>
      </c>
      <c r="E5919" s="25"/>
      <c r="F5919" s="129">
        <f t="shared" si="522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24"/>
        <v>23976</v>
      </c>
      <c r="E5920" s="25">
        <v>1</v>
      </c>
      <c r="F5920" s="129">
        <f t="shared" si="522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24"/>
        <v>25178</v>
      </c>
      <c r="E5921" s="25">
        <v>8</v>
      </c>
      <c r="F5921" s="129">
        <f t="shared" si="522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24"/>
        <v>19193</v>
      </c>
      <c r="E5922" s="25">
        <v>23</v>
      </c>
      <c r="F5922" s="129">
        <f t="shared" si="522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24"/>
        <v>3073</v>
      </c>
      <c r="E5923" s="25"/>
      <c r="F5923" s="129">
        <f t="shared" si="522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24"/>
        <v>8103</v>
      </c>
      <c r="E5924" s="25">
        <v>10</v>
      </c>
      <c r="F5924" s="129">
        <f t="shared" si="522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24"/>
        <v>10250</v>
      </c>
      <c r="E5925" s="25">
        <v>2</v>
      </c>
      <c r="F5925" s="129">
        <f t="shared" si="522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24"/>
        <v>112618</v>
      </c>
      <c r="E5926" s="25">
        <v>56</v>
      </c>
      <c r="F5926" s="129">
        <f t="shared" si="522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24"/>
        <v>10387</v>
      </c>
      <c r="E5927" s="25"/>
      <c r="F5927" s="129">
        <f t="shared" si="522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24"/>
        <v>12179</v>
      </c>
      <c r="E5928" s="25">
        <v>2</v>
      </c>
      <c r="F5928" s="129">
        <f t="shared" si="522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22"/>
        <v>851</v>
      </c>
    </row>
    <row r="5930" spans="1:6" x14ac:dyDescent="0.25">
      <c r="A5930" s="64" t="s">
        <v>22</v>
      </c>
      <c r="B5930" s="138">
        <v>44140</v>
      </c>
      <c r="C5930" s="48">
        <v>3239</v>
      </c>
      <c r="D5930" s="131">
        <f t="shared" si="524"/>
        <v>563938</v>
      </c>
      <c r="E5930" s="48">
        <f>43+38</f>
        <v>81</v>
      </c>
      <c r="F5930" s="128">
        <f t="shared" si="522"/>
        <v>18366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24"/>
        <v>149296</v>
      </c>
      <c r="E5931" s="4">
        <f>12+1+14</f>
        <v>27</v>
      </c>
      <c r="F5931" s="129">
        <f t="shared" ref="F5931:F5994" si="525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24"/>
        <v>1120</v>
      </c>
      <c r="F5932" s="129">
        <f t="shared" si="525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24"/>
        <v>14638</v>
      </c>
      <c r="E5933" s="4">
        <f>4+1</f>
        <v>5</v>
      </c>
      <c r="F5933" s="129">
        <f t="shared" si="525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24"/>
        <v>16153</v>
      </c>
      <c r="E5934" s="4">
        <f>9+5</f>
        <v>14</v>
      </c>
      <c r="F5934" s="129">
        <f t="shared" si="525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24"/>
        <v>90540</v>
      </c>
      <c r="E5935" s="4">
        <f>13+6</f>
        <v>19</v>
      </c>
      <c r="F5935" s="129">
        <f t="shared" si="525"/>
        <v>1414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24"/>
        <v>2651</v>
      </c>
      <c r="F5936" s="129">
        <f t="shared" si="525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24"/>
        <v>17345</v>
      </c>
      <c r="E5937" s="4">
        <f>5</f>
        <v>5</v>
      </c>
      <c r="F5937" s="129">
        <f t="shared" si="525"/>
        <v>306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24"/>
        <v>160</v>
      </c>
      <c r="F5938" s="129">
        <f t="shared" si="525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24"/>
        <v>17975</v>
      </c>
      <c r="E5939" s="4">
        <f>4</f>
        <v>4</v>
      </c>
      <c r="F5939" s="129">
        <f t="shared" si="525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24"/>
        <v>3812</v>
      </c>
      <c r="F5940" s="129">
        <f t="shared" si="525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24"/>
        <v>7763</v>
      </c>
      <c r="E5941" s="4">
        <f>3+2</f>
        <v>5</v>
      </c>
      <c r="F5941" s="129">
        <f t="shared" si="525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24"/>
        <v>49454</v>
      </c>
      <c r="E5942" s="4">
        <f>8+5</f>
        <v>13</v>
      </c>
      <c r="F5942" s="129">
        <f t="shared" si="525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24"/>
        <v>305</v>
      </c>
      <c r="F5943" s="129">
        <f t="shared" si="525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24"/>
        <v>24438</v>
      </c>
      <c r="F5944" s="129">
        <f t="shared" si="525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24"/>
        <v>25533</v>
      </c>
      <c r="E5945" s="4">
        <f>4+1</f>
        <v>5</v>
      </c>
      <c r="F5945" s="129">
        <f t="shared" si="525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24"/>
        <v>19305</v>
      </c>
      <c r="E5946" s="4">
        <f>5+3</f>
        <v>8</v>
      </c>
      <c r="F5946" s="129">
        <f t="shared" si="525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24"/>
        <v>3207</v>
      </c>
      <c r="F5947" s="129">
        <f t="shared" si="525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24"/>
        <v>8396</v>
      </c>
      <c r="E5948" s="4">
        <f>3+6</f>
        <v>9</v>
      </c>
      <c r="F5948" s="129">
        <f t="shared" si="525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24"/>
        <v>10519</v>
      </c>
      <c r="E5949" s="4">
        <f>5+5</f>
        <v>10</v>
      </c>
      <c r="F5949" s="129">
        <f t="shared" si="525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24"/>
        <v>114359</v>
      </c>
      <c r="E5950" s="4">
        <f>11+8</f>
        <v>19</v>
      </c>
      <c r="F5950" s="129">
        <f t="shared" si="525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24"/>
        <v>10707</v>
      </c>
      <c r="E5951" s="4">
        <v>3</v>
      </c>
      <c r="F5951" s="129">
        <f t="shared" si="525"/>
        <v>138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24"/>
        <v>12446</v>
      </c>
      <c r="E5952" s="4">
        <f>2</f>
        <v>2</v>
      </c>
      <c r="F5952" s="129">
        <f t="shared" si="525"/>
        <v>163</v>
      </c>
    </row>
    <row r="5953" spans="1:6" ht="15.75" thickBot="1" x14ac:dyDescent="0.3">
      <c r="A5953" s="142" t="s">
        <v>47</v>
      </c>
      <c r="B5953" s="46">
        <v>44140</v>
      </c>
      <c r="C5953" s="47">
        <v>603</v>
      </c>
      <c r="D5953" s="85">
        <f>C5953+D5929</f>
        <v>52968</v>
      </c>
      <c r="E5953" s="47">
        <f>7+11</f>
        <v>18</v>
      </c>
      <c r="F5953" s="139">
        <f t="shared" si="525"/>
        <v>869</v>
      </c>
    </row>
    <row r="5954" spans="1:6" x14ac:dyDescent="0.25">
      <c r="A5954" s="64" t="s">
        <v>22</v>
      </c>
      <c r="B5954" s="49">
        <v>44141</v>
      </c>
      <c r="C5954" s="50">
        <v>3089</v>
      </c>
      <c r="D5954" s="131">
        <f t="shared" si="524"/>
        <v>567027</v>
      </c>
      <c r="E5954" s="50">
        <f>1+74+81</f>
        <v>156</v>
      </c>
      <c r="F5954" s="128">
        <f t="shared" si="525"/>
        <v>18522</v>
      </c>
    </row>
    <row r="5955" spans="1:6" x14ac:dyDescent="0.25">
      <c r="A5955" s="140" t="s">
        <v>20</v>
      </c>
      <c r="B5955" s="26">
        <v>44141</v>
      </c>
      <c r="C5955" s="4">
        <v>641</v>
      </c>
      <c r="D5955" s="29">
        <f t="shared" si="524"/>
        <v>149937</v>
      </c>
      <c r="E5955" s="4">
        <f>1+22+17</f>
        <v>40</v>
      </c>
      <c r="F5955" s="129">
        <f t="shared" si="525"/>
        <v>4921</v>
      </c>
    </row>
    <row r="5956" spans="1:6" x14ac:dyDescent="0.25">
      <c r="A5956" s="140" t="s">
        <v>35</v>
      </c>
      <c r="B5956" s="26">
        <v>44141</v>
      </c>
      <c r="C5956" s="4">
        <v>3</v>
      </c>
      <c r="D5956" s="29">
        <f t="shared" si="524"/>
        <v>1123</v>
      </c>
      <c r="F5956" s="129">
        <f t="shared" si="525"/>
        <v>0</v>
      </c>
    </row>
    <row r="5957" spans="1:6" x14ac:dyDescent="0.25">
      <c r="A5957" s="140" t="s">
        <v>21</v>
      </c>
      <c r="B5957" s="26">
        <v>44141</v>
      </c>
      <c r="C5957" s="4">
        <v>121</v>
      </c>
      <c r="D5957" s="29">
        <f t="shared" si="524"/>
        <v>14759</v>
      </c>
      <c r="E5957" s="4">
        <f>3+2</f>
        <v>5</v>
      </c>
      <c r="F5957" s="129">
        <f t="shared" si="525"/>
        <v>458</v>
      </c>
    </row>
    <row r="5958" spans="1:6" x14ac:dyDescent="0.25">
      <c r="A5958" s="140" t="s">
        <v>36</v>
      </c>
      <c r="B5958" s="26">
        <v>44141</v>
      </c>
      <c r="C5958" s="4">
        <v>392</v>
      </c>
      <c r="D5958" s="29">
        <f t="shared" si="524"/>
        <v>16545</v>
      </c>
      <c r="E5958" s="4">
        <f>1+1</f>
        <v>2</v>
      </c>
      <c r="F5958" s="129">
        <f t="shared" si="525"/>
        <v>276</v>
      </c>
    </row>
    <row r="5959" spans="1:6" x14ac:dyDescent="0.25">
      <c r="A5959" s="140" t="s">
        <v>27</v>
      </c>
      <c r="B5959" s="26">
        <v>44141</v>
      </c>
      <c r="C5959" s="4">
        <v>1258</v>
      </c>
      <c r="D5959" s="29">
        <f t="shared" si="524"/>
        <v>91798</v>
      </c>
      <c r="E5959" s="4">
        <f>21+7</f>
        <v>28</v>
      </c>
      <c r="F5959" s="129">
        <f t="shared" si="525"/>
        <v>1442</v>
      </c>
    </row>
    <row r="5960" spans="1:6" x14ac:dyDescent="0.25">
      <c r="A5960" s="140" t="s">
        <v>37</v>
      </c>
      <c r="B5960" s="26">
        <v>44141</v>
      </c>
      <c r="C5960" s="4">
        <v>106</v>
      </c>
      <c r="D5960" s="29">
        <f t="shared" si="524"/>
        <v>2757</v>
      </c>
      <c r="E5960" s="4">
        <f>5+2</f>
        <v>7</v>
      </c>
      <c r="F5960" s="129">
        <f t="shared" si="525"/>
        <v>56</v>
      </c>
    </row>
    <row r="5961" spans="1:6" x14ac:dyDescent="0.25">
      <c r="A5961" s="140" t="s">
        <v>38</v>
      </c>
      <c r="B5961" s="26">
        <v>44141</v>
      </c>
      <c r="C5961" s="4">
        <v>338</v>
      </c>
      <c r="D5961" s="29">
        <f t="shared" si="524"/>
        <v>17683</v>
      </c>
      <c r="E5961" s="4">
        <f>7+4</f>
        <v>11</v>
      </c>
      <c r="F5961" s="129">
        <f t="shared" si="525"/>
        <v>317</v>
      </c>
    </row>
    <row r="5962" spans="1:6" x14ac:dyDescent="0.25">
      <c r="A5962" s="140" t="s">
        <v>48</v>
      </c>
      <c r="B5962" s="26">
        <v>44141</v>
      </c>
      <c r="C5962" s="4">
        <v>2</v>
      </c>
      <c r="D5962" s="29">
        <f t="shared" si="524"/>
        <v>162</v>
      </c>
      <c r="F5962" s="129">
        <f t="shared" si="525"/>
        <v>3</v>
      </c>
    </row>
    <row r="5963" spans="1:6" x14ac:dyDescent="0.25">
      <c r="A5963" s="140" t="s">
        <v>39</v>
      </c>
      <c r="B5963" s="26">
        <v>44141</v>
      </c>
      <c r="C5963" s="4">
        <v>14</v>
      </c>
      <c r="D5963" s="29">
        <f t="shared" si="524"/>
        <v>17989</v>
      </c>
      <c r="F5963" s="129">
        <f t="shared" si="525"/>
        <v>821</v>
      </c>
    </row>
    <row r="5964" spans="1:6" x14ac:dyDescent="0.25">
      <c r="A5964" s="140" t="s">
        <v>40</v>
      </c>
      <c r="B5964" s="26">
        <v>44141</v>
      </c>
      <c r="C5964" s="4">
        <v>104</v>
      </c>
      <c r="D5964" s="29">
        <f t="shared" si="524"/>
        <v>3916</v>
      </c>
      <c r="F5964" s="129">
        <f t="shared" si="525"/>
        <v>36</v>
      </c>
    </row>
    <row r="5965" spans="1:6" x14ac:dyDescent="0.25">
      <c r="A5965" s="140" t="s">
        <v>28</v>
      </c>
      <c r="B5965" s="26">
        <v>44141</v>
      </c>
      <c r="C5965" s="4">
        <v>18</v>
      </c>
      <c r="D5965" s="29">
        <f t="shared" si="524"/>
        <v>7781</v>
      </c>
      <c r="E5965" s="4">
        <v>1</v>
      </c>
      <c r="F5965" s="129">
        <f t="shared" si="525"/>
        <v>289</v>
      </c>
    </row>
    <row r="5966" spans="1:6" x14ac:dyDescent="0.25">
      <c r="A5966" s="140" t="s">
        <v>24</v>
      </c>
      <c r="B5966" s="26">
        <v>44141</v>
      </c>
      <c r="C5966" s="4">
        <v>626</v>
      </c>
      <c r="D5966" s="29">
        <f t="shared" si="524"/>
        <v>50080</v>
      </c>
      <c r="E5966" s="4">
        <f>15+7</f>
        <v>22</v>
      </c>
      <c r="F5966" s="129">
        <f t="shared" si="525"/>
        <v>889</v>
      </c>
    </row>
    <row r="5967" spans="1:6" x14ac:dyDescent="0.25">
      <c r="A5967" s="140" t="s">
        <v>30</v>
      </c>
      <c r="B5967" s="26">
        <v>44141</v>
      </c>
      <c r="C5967" s="4">
        <v>15</v>
      </c>
      <c r="D5967" s="29">
        <f t="shared" si="524"/>
        <v>320</v>
      </c>
      <c r="F5967" s="129">
        <f t="shared" si="525"/>
        <v>6</v>
      </c>
    </row>
    <row r="5968" spans="1:6" x14ac:dyDescent="0.25">
      <c r="A5968" s="140" t="s">
        <v>26</v>
      </c>
      <c r="B5968" s="26">
        <v>44141</v>
      </c>
      <c r="C5968" s="4">
        <v>310</v>
      </c>
      <c r="D5968" s="29">
        <f t="shared" si="524"/>
        <v>24748</v>
      </c>
      <c r="E5968" s="4">
        <f>4+4</f>
        <v>8</v>
      </c>
      <c r="F5968" s="129">
        <f t="shared" si="525"/>
        <v>423</v>
      </c>
    </row>
    <row r="5969" spans="1:6" x14ac:dyDescent="0.25">
      <c r="A5969" s="140" t="s">
        <v>25</v>
      </c>
      <c r="B5969" s="26">
        <v>44141</v>
      </c>
      <c r="C5969" s="4">
        <v>383</v>
      </c>
      <c r="D5969" s="29">
        <f t="shared" si="524"/>
        <v>25916</v>
      </c>
      <c r="E5969" s="4">
        <f>3+2</f>
        <v>5</v>
      </c>
      <c r="F5969" s="129">
        <f t="shared" si="525"/>
        <v>652</v>
      </c>
    </row>
    <row r="5970" spans="1:6" x14ac:dyDescent="0.25">
      <c r="A5970" s="140" t="s">
        <v>41</v>
      </c>
      <c r="B5970" s="26">
        <v>44141</v>
      </c>
      <c r="C5970" s="4">
        <v>93</v>
      </c>
      <c r="D5970" s="29">
        <f t="shared" ref="D5970:D5976" si="526">C5970+D5946</f>
        <v>19398</v>
      </c>
      <c r="E5970" s="4">
        <f>6+4</f>
        <v>10</v>
      </c>
      <c r="F5970" s="129">
        <f t="shared" si="525"/>
        <v>853</v>
      </c>
    </row>
    <row r="5971" spans="1:6" x14ac:dyDescent="0.25">
      <c r="A5971" s="140" t="s">
        <v>42</v>
      </c>
      <c r="B5971" s="26">
        <v>44141</v>
      </c>
      <c r="C5971" s="4">
        <v>191</v>
      </c>
      <c r="D5971" s="29">
        <f t="shared" si="526"/>
        <v>3398</v>
      </c>
      <c r="F5971" s="129">
        <f t="shared" si="525"/>
        <v>102</v>
      </c>
    </row>
    <row r="5972" spans="1:6" x14ac:dyDescent="0.25">
      <c r="A5972" s="140" t="s">
        <v>43</v>
      </c>
      <c r="B5972" s="26">
        <v>44141</v>
      </c>
      <c r="C5972" s="4">
        <v>468</v>
      </c>
      <c r="D5972" s="29">
        <f t="shared" si="526"/>
        <v>8864</v>
      </c>
      <c r="E5972" s="4">
        <f>9+1</f>
        <v>10</v>
      </c>
      <c r="F5972" s="129">
        <f t="shared" si="525"/>
        <v>121</v>
      </c>
    </row>
    <row r="5973" spans="1:6" x14ac:dyDescent="0.25">
      <c r="A5973" s="140" t="s">
        <v>44</v>
      </c>
      <c r="B5973" s="26">
        <v>44141</v>
      </c>
      <c r="C5973" s="4">
        <v>222</v>
      </c>
      <c r="D5973" s="29">
        <f t="shared" si="526"/>
        <v>10741</v>
      </c>
      <c r="E5973" s="4">
        <f>2+2</f>
        <v>4</v>
      </c>
      <c r="F5973" s="129">
        <f t="shared" si="525"/>
        <v>163</v>
      </c>
    </row>
    <row r="5974" spans="1:6" x14ac:dyDescent="0.25">
      <c r="A5974" s="140" t="s">
        <v>29</v>
      </c>
      <c r="B5974" s="26">
        <v>44141</v>
      </c>
      <c r="C5974" s="4">
        <v>1736</v>
      </c>
      <c r="D5974" s="29">
        <f t="shared" si="526"/>
        <v>116095</v>
      </c>
      <c r="E5974" s="4">
        <f>1+30+22</f>
        <v>53</v>
      </c>
      <c r="F5974" s="129">
        <f t="shared" si="525"/>
        <v>1602</v>
      </c>
    </row>
    <row r="5975" spans="1:6" x14ac:dyDescent="0.25">
      <c r="A5975" s="140" t="s">
        <v>45</v>
      </c>
      <c r="B5975" s="26">
        <v>44141</v>
      </c>
      <c r="C5975" s="4">
        <v>223</v>
      </c>
      <c r="D5975" s="29">
        <f t="shared" si="526"/>
        <v>10930</v>
      </c>
      <c r="E5975" s="4">
        <f>3</f>
        <v>3</v>
      </c>
      <c r="F5975" s="129">
        <f t="shared" si="525"/>
        <v>141</v>
      </c>
    </row>
    <row r="5976" spans="1:6" x14ac:dyDescent="0.25">
      <c r="A5976" s="140" t="s">
        <v>46</v>
      </c>
      <c r="B5976" s="26">
        <v>44141</v>
      </c>
      <c r="C5976" s="4">
        <v>311</v>
      </c>
      <c r="D5976" s="29">
        <f t="shared" si="526"/>
        <v>12757</v>
      </c>
      <c r="F5976" s="129">
        <f t="shared" si="525"/>
        <v>163</v>
      </c>
    </row>
    <row r="5977" spans="1:6" ht="15.75" thickBot="1" x14ac:dyDescent="0.3">
      <c r="A5977" s="142" t="s">
        <v>47</v>
      </c>
      <c r="B5977" s="46">
        <v>44141</v>
      </c>
      <c r="C5977" s="47">
        <v>1122</v>
      </c>
      <c r="D5977" s="85">
        <f>C5977+D5953</f>
        <v>54090</v>
      </c>
      <c r="E5977" s="47">
        <f>3+3</f>
        <v>6</v>
      </c>
      <c r="F5977" s="139">
        <f t="shared" si="525"/>
        <v>875</v>
      </c>
    </row>
    <row r="5978" spans="1:6" x14ac:dyDescent="0.25">
      <c r="A5978" s="64" t="s">
        <v>22</v>
      </c>
      <c r="B5978" s="46">
        <v>44142</v>
      </c>
      <c r="C5978" s="4">
        <v>2161</v>
      </c>
      <c r="D5978" s="131">
        <f t="shared" ref="D5978:D6041" si="527">C5978+D5954</f>
        <v>569188</v>
      </c>
      <c r="E5978" s="4">
        <f>42+33</f>
        <v>75</v>
      </c>
      <c r="F5978" s="128">
        <f t="shared" si="525"/>
        <v>18597</v>
      </c>
    </row>
    <row r="5979" spans="1:6" x14ac:dyDescent="0.25">
      <c r="A5979" s="140" t="s">
        <v>20</v>
      </c>
      <c r="B5979" s="46">
        <v>44142</v>
      </c>
      <c r="C5979" s="4">
        <v>394</v>
      </c>
      <c r="D5979" s="29">
        <f t="shared" si="527"/>
        <v>150331</v>
      </c>
      <c r="E5979" s="4">
        <f>13+11</f>
        <v>24</v>
      </c>
      <c r="F5979" s="129">
        <f t="shared" si="525"/>
        <v>4945</v>
      </c>
    </row>
    <row r="5980" spans="1:6" x14ac:dyDescent="0.25">
      <c r="A5980" s="140" t="s">
        <v>35</v>
      </c>
      <c r="B5980" s="46">
        <v>44142</v>
      </c>
      <c r="C5980" s="4">
        <v>41</v>
      </c>
      <c r="D5980" s="29">
        <f t="shared" si="527"/>
        <v>1164</v>
      </c>
      <c r="E5980" s="4">
        <f>2</f>
        <v>2</v>
      </c>
      <c r="F5980" s="129">
        <f t="shared" si="525"/>
        <v>2</v>
      </c>
    </row>
    <row r="5981" spans="1:6" x14ac:dyDescent="0.25">
      <c r="A5981" s="140" t="s">
        <v>21</v>
      </c>
      <c r="B5981" s="46">
        <v>44142</v>
      </c>
      <c r="C5981" s="4">
        <v>157</v>
      </c>
      <c r="D5981" s="29">
        <f t="shared" si="527"/>
        <v>14916</v>
      </c>
      <c r="E5981" s="4">
        <f>2+4</f>
        <v>6</v>
      </c>
      <c r="F5981" s="129">
        <f t="shared" si="525"/>
        <v>464</v>
      </c>
    </row>
    <row r="5982" spans="1:6" x14ac:dyDescent="0.25">
      <c r="A5982" s="140" t="s">
        <v>36</v>
      </c>
      <c r="B5982" s="46">
        <v>44142</v>
      </c>
      <c r="C5982" s="4">
        <v>231</v>
      </c>
      <c r="D5982" s="29">
        <f t="shared" si="527"/>
        <v>16776</v>
      </c>
      <c r="F5982" s="129">
        <f t="shared" si="525"/>
        <v>276</v>
      </c>
    </row>
    <row r="5983" spans="1:6" x14ac:dyDescent="0.25">
      <c r="A5983" s="140" t="s">
        <v>27</v>
      </c>
      <c r="B5983" s="46">
        <v>44142</v>
      </c>
      <c r="C5983" s="4">
        <v>1006</v>
      </c>
      <c r="D5983" s="29">
        <f t="shared" si="527"/>
        <v>92804</v>
      </c>
      <c r="E5983" s="4">
        <f>6+5</f>
        <v>11</v>
      </c>
      <c r="F5983" s="129">
        <f t="shared" si="525"/>
        <v>1453</v>
      </c>
    </row>
    <row r="5984" spans="1:6" x14ac:dyDescent="0.25">
      <c r="A5984" s="140" t="s">
        <v>37</v>
      </c>
      <c r="B5984" s="46">
        <v>44142</v>
      </c>
      <c r="C5984" s="4">
        <v>76</v>
      </c>
      <c r="D5984" s="29">
        <f t="shared" si="527"/>
        <v>2833</v>
      </c>
      <c r="F5984" s="129">
        <f t="shared" si="525"/>
        <v>56</v>
      </c>
    </row>
    <row r="5985" spans="1:6" x14ac:dyDescent="0.25">
      <c r="A5985" s="140" t="s">
        <v>38</v>
      </c>
      <c r="B5985" s="46">
        <v>44142</v>
      </c>
      <c r="C5985" s="4">
        <v>234</v>
      </c>
      <c r="D5985" s="29">
        <f t="shared" si="527"/>
        <v>17917</v>
      </c>
      <c r="E5985" s="4">
        <f>6+2</f>
        <v>8</v>
      </c>
      <c r="F5985" s="129">
        <f t="shared" si="525"/>
        <v>325</v>
      </c>
    </row>
    <row r="5986" spans="1:6" x14ac:dyDescent="0.25">
      <c r="A5986" s="140" t="s">
        <v>48</v>
      </c>
      <c r="B5986" s="46">
        <v>44142</v>
      </c>
      <c r="C5986" s="4">
        <v>0</v>
      </c>
      <c r="D5986" s="29">
        <f t="shared" si="527"/>
        <v>162</v>
      </c>
      <c r="F5986" s="129">
        <f t="shared" si="525"/>
        <v>3</v>
      </c>
    </row>
    <row r="5987" spans="1:6" x14ac:dyDescent="0.25">
      <c r="A5987" s="140" t="s">
        <v>39</v>
      </c>
      <c r="B5987" s="46">
        <v>44142</v>
      </c>
      <c r="C5987" s="4">
        <v>24</v>
      </c>
      <c r="D5987" s="29">
        <f t="shared" si="527"/>
        <v>18013</v>
      </c>
      <c r="E5987" s="4">
        <f>4</f>
        <v>4</v>
      </c>
      <c r="F5987" s="129">
        <f t="shared" si="525"/>
        <v>825</v>
      </c>
    </row>
    <row r="5988" spans="1:6" x14ac:dyDescent="0.25">
      <c r="A5988" s="140" t="s">
        <v>40</v>
      </c>
      <c r="B5988" s="46">
        <v>44142</v>
      </c>
      <c r="C5988" s="4">
        <v>106</v>
      </c>
      <c r="D5988" s="29">
        <f t="shared" si="527"/>
        <v>4022</v>
      </c>
      <c r="F5988" s="129">
        <f t="shared" si="525"/>
        <v>36</v>
      </c>
    </row>
    <row r="5989" spans="1:6" x14ac:dyDescent="0.25">
      <c r="A5989" s="140" t="s">
        <v>28</v>
      </c>
      <c r="B5989" s="46">
        <v>44142</v>
      </c>
      <c r="C5989" s="4">
        <v>13</v>
      </c>
      <c r="D5989" s="29">
        <f t="shared" si="527"/>
        <v>7794</v>
      </c>
      <c r="F5989" s="129">
        <f t="shared" si="525"/>
        <v>289</v>
      </c>
    </row>
    <row r="5990" spans="1:6" x14ac:dyDescent="0.25">
      <c r="A5990" s="140" t="s">
        <v>24</v>
      </c>
      <c r="B5990" s="46">
        <v>44142</v>
      </c>
      <c r="C5990" s="4">
        <v>354</v>
      </c>
      <c r="D5990" s="29">
        <f t="shared" si="527"/>
        <v>50434</v>
      </c>
      <c r="E5990" s="4">
        <f>14+5</f>
        <v>19</v>
      </c>
      <c r="F5990" s="129">
        <f t="shared" si="525"/>
        <v>908</v>
      </c>
    </row>
    <row r="5991" spans="1:6" x14ac:dyDescent="0.25">
      <c r="A5991" s="140" t="s">
        <v>30</v>
      </c>
      <c r="B5991" s="46">
        <v>44142</v>
      </c>
      <c r="C5991" s="4">
        <v>10</v>
      </c>
      <c r="D5991" s="29">
        <f t="shared" si="527"/>
        <v>330</v>
      </c>
      <c r="F5991" s="129">
        <f t="shared" si="525"/>
        <v>6</v>
      </c>
    </row>
    <row r="5992" spans="1:6" x14ac:dyDescent="0.25">
      <c r="A5992" s="140" t="s">
        <v>26</v>
      </c>
      <c r="B5992" s="46">
        <v>44142</v>
      </c>
      <c r="C5992" s="4">
        <v>352</v>
      </c>
      <c r="D5992" s="29">
        <f t="shared" si="527"/>
        <v>25100</v>
      </c>
      <c r="F5992" s="129">
        <f t="shared" si="525"/>
        <v>423</v>
      </c>
    </row>
    <row r="5993" spans="1:6" x14ac:dyDescent="0.25">
      <c r="A5993" s="140" t="s">
        <v>25</v>
      </c>
      <c r="B5993" s="46">
        <v>44142</v>
      </c>
      <c r="C5993" s="4">
        <v>187</v>
      </c>
      <c r="D5993" s="29">
        <f t="shared" si="527"/>
        <v>26103</v>
      </c>
      <c r="E5993" s="4">
        <f>7+3</f>
        <v>10</v>
      </c>
      <c r="F5993" s="129">
        <f t="shared" si="525"/>
        <v>662</v>
      </c>
    </row>
    <row r="5994" spans="1:6" x14ac:dyDescent="0.25">
      <c r="A5994" s="140" t="s">
        <v>41</v>
      </c>
      <c r="B5994" s="46">
        <v>44142</v>
      </c>
      <c r="C5994" s="4">
        <v>112</v>
      </c>
      <c r="D5994" s="29">
        <f t="shared" si="527"/>
        <v>19510</v>
      </c>
      <c r="E5994" s="4">
        <f>6+7</f>
        <v>13</v>
      </c>
      <c r="F5994" s="129">
        <f t="shared" si="525"/>
        <v>866</v>
      </c>
    </row>
    <row r="5995" spans="1:6" x14ac:dyDescent="0.25">
      <c r="A5995" s="140" t="s">
        <v>42</v>
      </c>
      <c r="B5995" s="46">
        <v>44142</v>
      </c>
      <c r="C5995" s="4">
        <v>138</v>
      </c>
      <c r="D5995" s="29">
        <f t="shared" si="527"/>
        <v>3536</v>
      </c>
      <c r="F5995" s="129">
        <f t="shared" ref="F5995:F6058" si="528">E5995+F5971</f>
        <v>102</v>
      </c>
    </row>
    <row r="5996" spans="1:6" x14ac:dyDescent="0.25">
      <c r="A5996" s="140" t="s">
        <v>43</v>
      </c>
      <c r="B5996" s="46">
        <v>44142</v>
      </c>
      <c r="C5996" s="4">
        <v>153</v>
      </c>
      <c r="D5996" s="29">
        <f t="shared" si="527"/>
        <v>9017</v>
      </c>
      <c r="F5996" s="129">
        <f t="shared" si="528"/>
        <v>121</v>
      </c>
    </row>
    <row r="5997" spans="1:6" x14ac:dyDescent="0.25">
      <c r="A5997" s="140" t="s">
        <v>44</v>
      </c>
      <c r="B5997" s="46">
        <v>44142</v>
      </c>
      <c r="C5997" s="4">
        <v>169</v>
      </c>
      <c r="D5997" s="29">
        <f t="shared" si="527"/>
        <v>10910</v>
      </c>
      <c r="E5997" s="4">
        <f>1</f>
        <v>1</v>
      </c>
      <c r="F5997" s="129">
        <f t="shared" si="528"/>
        <v>164</v>
      </c>
    </row>
    <row r="5998" spans="1:6" x14ac:dyDescent="0.25">
      <c r="A5998" s="140" t="s">
        <v>29</v>
      </c>
      <c r="B5998" s="46">
        <v>44142</v>
      </c>
      <c r="C5998" s="4">
        <v>1328</v>
      </c>
      <c r="D5998" s="29">
        <f t="shared" si="527"/>
        <v>117423</v>
      </c>
      <c r="E5998" s="4">
        <f>20+6</f>
        <v>26</v>
      </c>
      <c r="F5998" s="129">
        <f t="shared" si="528"/>
        <v>1628</v>
      </c>
    </row>
    <row r="5999" spans="1:6" x14ac:dyDescent="0.25">
      <c r="A5999" s="140" t="s">
        <v>45</v>
      </c>
      <c r="B5999" s="46">
        <v>44142</v>
      </c>
      <c r="C5999" s="4">
        <v>226</v>
      </c>
      <c r="D5999" s="29">
        <f t="shared" si="527"/>
        <v>11156</v>
      </c>
      <c r="E5999" s="4">
        <f>1</f>
        <v>1</v>
      </c>
      <c r="F5999" s="129">
        <f t="shared" si="528"/>
        <v>142</v>
      </c>
    </row>
    <row r="6000" spans="1:6" x14ac:dyDescent="0.25">
      <c r="A6000" s="140" t="s">
        <v>46</v>
      </c>
      <c r="B6000" s="46">
        <v>44142</v>
      </c>
      <c r="C6000" s="4">
        <v>201</v>
      </c>
      <c r="D6000" s="29">
        <f t="shared" si="527"/>
        <v>12958</v>
      </c>
      <c r="E6000" s="4">
        <f>3</f>
        <v>3</v>
      </c>
      <c r="F6000" s="129">
        <f t="shared" si="528"/>
        <v>166</v>
      </c>
    </row>
    <row r="6001" spans="1:6" ht="15.75" thickBot="1" x14ac:dyDescent="0.3">
      <c r="A6001" s="142" t="s">
        <v>47</v>
      </c>
      <c r="B6001" s="46">
        <v>44142</v>
      </c>
      <c r="C6001" s="4">
        <v>364</v>
      </c>
      <c r="D6001" s="85">
        <f>C6001+D5977</f>
        <v>54454</v>
      </c>
      <c r="E6001" s="4">
        <f>7+3</f>
        <v>10</v>
      </c>
      <c r="F6001" s="139">
        <f t="shared" si="528"/>
        <v>885</v>
      </c>
    </row>
    <row r="6002" spans="1:6" x14ac:dyDescent="0.25">
      <c r="A6002" s="64" t="s">
        <v>22</v>
      </c>
      <c r="B6002" s="46">
        <v>44143</v>
      </c>
      <c r="C6002" s="4">
        <v>1309</v>
      </c>
      <c r="D6002" s="131">
        <f t="shared" si="527"/>
        <v>570497</v>
      </c>
      <c r="E6002" s="4">
        <f>41+32</f>
        <v>73</v>
      </c>
      <c r="F6002" s="128">
        <f t="shared" si="528"/>
        <v>18670</v>
      </c>
    </row>
    <row r="6003" spans="1:6" x14ac:dyDescent="0.25">
      <c r="A6003" s="140" t="s">
        <v>20</v>
      </c>
      <c r="B6003" s="46">
        <v>44143</v>
      </c>
      <c r="C6003" s="4">
        <v>245</v>
      </c>
      <c r="D6003" s="29">
        <f t="shared" si="527"/>
        <v>150576</v>
      </c>
      <c r="E6003" s="4">
        <f>11+4</f>
        <v>15</v>
      </c>
      <c r="F6003" s="129">
        <f t="shared" si="528"/>
        <v>4960</v>
      </c>
    </row>
    <row r="6004" spans="1:6" x14ac:dyDescent="0.25">
      <c r="A6004" s="140" t="s">
        <v>35</v>
      </c>
      <c r="B6004" s="46">
        <v>44143</v>
      </c>
      <c r="C6004" s="4">
        <v>15</v>
      </c>
      <c r="D6004" s="29">
        <f t="shared" si="527"/>
        <v>1179</v>
      </c>
      <c r="F6004" s="129">
        <f t="shared" si="528"/>
        <v>2</v>
      </c>
    </row>
    <row r="6005" spans="1:6" x14ac:dyDescent="0.25">
      <c r="A6005" s="140" t="s">
        <v>21</v>
      </c>
      <c r="B6005" s="46">
        <v>44143</v>
      </c>
      <c r="C6005" s="4">
        <v>122</v>
      </c>
      <c r="D6005" s="29">
        <f t="shared" si="527"/>
        <v>15038</v>
      </c>
      <c r="E6005" s="4">
        <f>1</f>
        <v>1</v>
      </c>
      <c r="F6005" s="129">
        <f t="shared" si="528"/>
        <v>465</v>
      </c>
    </row>
    <row r="6006" spans="1:6" x14ac:dyDescent="0.25">
      <c r="A6006" s="140" t="s">
        <v>36</v>
      </c>
      <c r="B6006" s="46">
        <v>44143</v>
      </c>
      <c r="C6006" s="4">
        <v>119</v>
      </c>
      <c r="D6006" s="29">
        <f t="shared" si="527"/>
        <v>16895</v>
      </c>
      <c r="F6006" s="129">
        <f t="shared" si="528"/>
        <v>276</v>
      </c>
    </row>
    <row r="6007" spans="1:6" x14ac:dyDescent="0.25">
      <c r="A6007" s="140" t="s">
        <v>27</v>
      </c>
      <c r="B6007" s="46">
        <v>44143</v>
      </c>
      <c r="C6007" s="4">
        <v>775</v>
      </c>
      <c r="D6007" s="29">
        <f t="shared" si="527"/>
        <v>93579</v>
      </c>
      <c r="E6007" s="4">
        <f>18+5</f>
        <v>23</v>
      </c>
      <c r="F6007" s="129">
        <f t="shared" si="528"/>
        <v>1476</v>
      </c>
    </row>
    <row r="6008" spans="1:6" x14ac:dyDescent="0.25">
      <c r="A6008" s="140" t="s">
        <v>37</v>
      </c>
      <c r="B6008" s="46">
        <v>44143</v>
      </c>
      <c r="C6008" s="4">
        <v>77</v>
      </c>
      <c r="D6008" s="29">
        <f t="shared" si="527"/>
        <v>2910</v>
      </c>
      <c r="E6008" s="4">
        <f>1</f>
        <v>1</v>
      </c>
      <c r="F6008" s="129">
        <f t="shared" si="528"/>
        <v>57</v>
      </c>
    </row>
    <row r="6009" spans="1:6" x14ac:dyDescent="0.25">
      <c r="A6009" s="140" t="s">
        <v>38</v>
      </c>
      <c r="B6009" s="46">
        <v>44143</v>
      </c>
      <c r="C6009" s="4">
        <v>187</v>
      </c>
      <c r="D6009" s="29">
        <f t="shared" si="527"/>
        <v>18104</v>
      </c>
      <c r="E6009" s="4">
        <f>2+1</f>
        <v>3</v>
      </c>
      <c r="F6009" s="129">
        <f t="shared" si="528"/>
        <v>328</v>
      </c>
    </row>
    <row r="6010" spans="1:6" x14ac:dyDescent="0.25">
      <c r="A6010" s="140" t="s">
        <v>48</v>
      </c>
      <c r="B6010" s="46">
        <v>44143</v>
      </c>
      <c r="C6010" s="4">
        <v>0</v>
      </c>
      <c r="D6010" s="29">
        <f t="shared" si="527"/>
        <v>162</v>
      </c>
      <c r="F6010" s="129">
        <f t="shared" si="528"/>
        <v>3</v>
      </c>
    </row>
    <row r="6011" spans="1:6" x14ac:dyDescent="0.25">
      <c r="A6011" s="140" t="s">
        <v>39</v>
      </c>
      <c r="B6011" s="46">
        <v>44143</v>
      </c>
      <c r="C6011" s="4">
        <v>12</v>
      </c>
      <c r="D6011" s="29">
        <f t="shared" si="527"/>
        <v>18025</v>
      </c>
      <c r="F6011" s="129">
        <f t="shared" si="528"/>
        <v>825</v>
      </c>
    </row>
    <row r="6012" spans="1:6" x14ac:dyDescent="0.25">
      <c r="A6012" s="140" t="s">
        <v>40</v>
      </c>
      <c r="B6012" s="46">
        <v>44143</v>
      </c>
      <c r="C6012" s="4">
        <v>99</v>
      </c>
      <c r="D6012" s="29">
        <f t="shared" si="527"/>
        <v>4121</v>
      </c>
      <c r="E6012" s="4">
        <f>3+2</f>
        <v>5</v>
      </c>
      <c r="F6012" s="129">
        <f t="shared" si="528"/>
        <v>41</v>
      </c>
    </row>
    <row r="6013" spans="1:6" x14ac:dyDescent="0.25">
      <c r="A6013" s="140" t="s">
        <v>28</v>
      </c>
      <c r="B6013" s="46">
        <v>44143</v>
      </c>
      <c r="C6013" s="4">
        <v>55</v>
      </c>
      <c r="D6013" s="29">
        <f t="shared" si="527"/>
        <v>7849</v>
      </c>
      <c r="E6013" s="4">
        <f>3</f>
        <v>3</v>
      </c>
      <c r="F6013" s="129">
        <f t="shared" si="528"/>
        <v>292</v>
      </c>
    </row>
    <row r="6014" spans="1:6" x14ac:dyDescent="0.25">
      <c r="A6014" s="140" t="s">
        <v>24</v>
      </c>
      <c r="B6014" s="46">
        <v>44143</v>
      </c>
      <c r="C6014" s="4">
        <v>140</v>
      </c>
      <c r="D6014" s="29">
        <f t="shared" si="527"/>
        <v>50574</v>
      </c>
      <c r="E6014" s="4">
        <f>12+4</f>
        <v>16</v>
      </c>
      <c r="F6014" s="129">
        <f t="shared" si="528"/>
        <v>924</v>
      </c>
    </row>
    <row r="6015" spans="1:6" x14ac:dyDescent="0.25">
      <c r="A6015" s="140" t="s">
        <v>30</v>
      </c>
      <c r="B6015" s="46">
        <v>44143</v>
      </c>
      <c r="C6015" s="4">
        <v>3</v>
      </c>
      <c r="D6015" s="29">
        <f t="shared" si="527"/>
        <v>333</v>
      </c>
      <c r="F6015" s="129">
        <f t="shared" si="528"/>
        <v>6</v>
      </c>
    </row>
    <row r="6016" spans="1:6" x14ac:dyDescent="0.25">
      <c r="A6016" s="140" t="s">
        <v>26</v>
      </c>
      <c r="B6016" s="46">
        <v>44143</v>
      </c>
      <c r="C6016" s="4">
        <v>154</v>
      </c>
      <c r="D6016" s="29">
        <f t="shared" si="527"/>
        <v>25254</v>
      </c>
      <c r="F6016" s="129">
        <f t="shared" si="528"/>
        <v>423</v>
      </c>
    </row>
    <row r="6017" spans="1:6" x14ac:dyDescent="0.25">
      <c r="A6017" s="140" t="s">
        <v>25</v>
      </c>
      <c r="B6017" s="46">
        <v>44143</v>
      </c>
      <c r="C6017" s="4">
        <v>126</v>
      </c>
      <c r="D6017" s="29">
        <f t="shared" si="527"/>
        <v>26229</v>
      </c>
      <c r="E6017" s="4">
        <f>1+1</f>
        <v>2</v>
      </c>
      <c r="F6017" s="129">
        <f t="shared" si="528"/>
        <v>664</v>
      </c>
    </row>
    <row r="6018" spans="1:6" x14ac:dyDescent="0.25">
      <c r="A6018" s="140" t="s">
        <v>41</v>
      </c>
      <c r="B6018" s="46">
        <v>44143</v>
      </c>
      <c r="C6018" s="4">
        <v>36</v>
      </c>
      <c r="D6018" s="29">
        <f t="shared" si="527"/>
        <v>19546</v>
      </c>
      <c r="E6018" s="4">
        <f>25+5</f>
        <v>30</v>
      </c>
      <c r="F6018" s="129">
        <f t="shared" si="528"/>
        <v>896</v>
      </c>
    </row>
    <row r="6019" spans="1:6" x14ac:dyDescent="0.25">
      <c r="A6019" s="140" t="s">
        <v>42</v>
      </c>
      <c r="B6019" s="46">
        <v>44143</v>
      </c>
      <c r="C6019" s="4">
        <v>127</v>
      </c>
      <c r="D6019" s="29">
        <f t="shared" si="527"/>
        <v>3663</v>
      </c>
      <c r="F6019" s="129">
        <f t="shared" si="528"/>
        <v>102</v>
      </c>
    </row>
    <row r="6020" spans="1:6" x14ac:dyDescent="0.25">
      <c r="A6020" s="140" t="s">
        <v>43</v>
      </c>
      <c r="B6020" s="46">
        <v>44143</v>
      </c>
      <c r="C6020" s="4">
        <v>54</v>
      </c>
      <c r="D6020" s="29">
        <f t="shared" si="527"/>
        <v>9071</v>
      </c>
      <c r="E6020" s="4">
        <f>1</f>
        <v>1</v>
      </c>
      <c r="F6020" s="129">
        <f t="shared" si="528"/>
        <v>122</v>
      </c>
    </row>
    <row r="6021" spans="1:6" x14ac:dyDescent="0.25">
      <c r="A6021" s="140" t="s">
        <v>44</v>
      </c>
      <c r="B6021" s="46">
        <v>44143</v>
      </c>
      <c r="C6021" s="4">
        <v>176</v>
      </c>
      <c r="D6021" s="29">
        <f t="shared" si="527"/>
        <v>11086</v>
      </c>
      <c r="E6021" s="4">
        <v>1</v>
      </c>
      <c r="F6021" s="129">
        <f t="shared" si="528"/>
        <v>165</v>
      </c>
    </row>
    <row r="6022" spans="1:6" x14ac:dyDescent="0.25">
      <c r="A6022" s="140" t="s">
        <v>29</v>
      </c>
      <c r="B6022" s="46">
        <v>44143</v>
      </c>
      <c r="C6022" s="4">
        <v>879</v>
      </c>
      <c r="D6022" s="29">
        <f t="shared" si="527"/>
        <v>118302</v>
      </c>
      <c r="E6022" s="4">
        <f>17+20</f>
        <v>37</v>
      </c>
      <c r="F6022" s="129">
        <f t="shared" si="528"/>
        <v>1665</v>
      </c>
    </row>
    <row r="6023" spans="1:6" x14ac:dyDescent="0.25">
      <c r="A6023" s="140" t="s">
        <v>45</v>
      </c>
      <c r="B6023" s="46">
        <v>44143</v>
      </c>
      <c r="C6023" s="4">
        <v>170</v>
      </c>
      <c r="D6023" s="29">
        <f t="shared" si="527"/>
        <v>11326</v>
      </c>
      <c r="F6023" s="129">
        <f t="shared" si="528"/>
        <v>142</v>
      </c>
    </row>
    <row r="6024" spans="1:6" x14ac:dyDescent="0.25">
      <c r="A6024" s="140" t="s">
        <v>46</v>
      </c>
      <c r="B6024" s="46">
        <v>44143</v>
      </c>
      <c r="C6024" s="4">
        <v>178</v>
      </c>
      <c r="D6024" s="29">
        <f t="shared" si="527"/>
        <v>13136</v>
      </c>
      <c r="F6024" s="129">
        <f t="shared" si="528"/>
        <v>166</v>
      </c>
    </row>
    <row r="6025" spans="1:6" ht="15.75" thickBot="1" x14ac:dyDescent="0.3">
      <c r="A6025" s="142" t="s">
        <v>47</v>
      </c>
      <c r="B6025" s="46">
        <v>44143</v>
      </c>
      <c r="C6025" s="4">
        <v>273</v>
      </c>
      <c r="D6025" s="85">
        <f>C6025+D6001</f>
        <v>54727</v>
      </c>
      <c r="E6025" s="4">
        <v>1</v>
      </c>
      <c r="F6025" s="139">
        <f t="shared" si="528"/>
        <v>886</v>
      </c>
    </row>
    <row r="6026" spans="1:6" x14ac:dyDescent="0.25">
      <c r="A6026" s="64" t="s">
        <v>22</v>
      </c>
      <c r="B6026" s="46">
        <v>44144</v>
      </c>
      <c r="C6026" s="4">
        <v>2391</v>
      </c>
      <c r="D6026" s="131">
        <f t="shared" si="527"/>
        <v>572888</v>
      </c>
      <c r="E6026" s="4">
        <v>115</v>
      </c>
      <c r="F6026" s="128">
        <f t="shared" si="528"/>
        <v>18785</v>
      </c>
    </row>
    <row r="6027" spans="1:6" x14ac:dyDescent="0.25">
      <c r="A6027" s="140" t="s">
        <v>20</v>
      </c>
      <c r="B6027" s="46">
        <v>44144</v>
      </c>
      <c r="C6027" s="4">
        <v>401</v>
      </c>
      <c r="D6027" s="29">
        <f t="shared" si="527"/>
        <v>150977</v>
      </c>
      <c r="E6027" s="4">
        <v>14</v>
      </c>
      <c r="F6027" s="129">
        <f t="shared" si="528"/>
        <v>4974</v>
      </c>
    </row>
    <row r="6028" spans="1:6" x14ac:dyDescent="0.25">
      <c r="A6028" s="140" t="s">
        <v>35</v>
      </c>
      <c r="B6028" s="46">
        <v>44144</v>
      </c>
      <c r="C6028" s="4">
        <v>45</v>
      </c>
      <c r="D6028" s="29">
        <f t="shared" si="527"/>
        <v>1224</v>
      </c>
      <c r="F6028" s="129">
        <f t="shared" si="528"/>
        <v>2</v>
      </c>
    </row>
    <row r="6029" spans="1:6" x14ac:dyDescent="0.25">
      <c r="A6029" s="140" t="s">
        <v>21</v>
      </c>
      <c r="B6029" s="46">
        <v>44144</v>
      </c>
      <c r="C6029" s="4">
        <v>125</v>
      </c>
      <c r="D6029" s="29">
        <f t="shared" si="527"/>
        <v>15163</v>
      </c>
      <c r="E6029" s="4">
        <v>4</v>
      </c>
      <c r="F6029" s="129">
        <f t="shared" si="528"/>
        <v>469</v>
      </c>
    </row>
    <row r="6030" spans="1:6" x14ac:dyDescent="0.25">
      <c r="A6030" s="140" t="s">
        <v>36</v>
      </c>
      <c r="B6030" s="46">
        <v>44144</v>
      </c>
      <c r="C6030" s="4">
        <v>288</v>
      </c>
      <c r="D6030" s="29">
        <f t="shared" si="527"/>
        <v>17183</v>
      </c>
      <c r="E6030" s="4">
        <v>1</v>
      </c>
      <c r="F6030" s="129">
        <f t="shared" si="528"/>
        <v>277</v>
      </c>
    </row>
    <row r="6031" spans="1:6" x14ac:dyDescent="0.25">
      <c r="A6031" s="140" t="s">
        <v>27</v>
      </c>
      <c r="B6031" s="46">
        <v>44144</v>
      </c>
      <c r="C6031" s="4">
        <v>866</v>
      </c>
      <c r="D6031" s="29">
        <f t="shared" si="527"/>
        <v>94445</v>
      </c>
      <c r="E6031" s="4">
        <v>26</v>
      </c>
      <c r="F6031" s="129">
        <f t="shared" si="528"/>
        <v>1502</v>
      </c>
    </row>
    <row r="6032" spans="1:6" x14ac:dyDescent="0.25">
      <c r="A6032" s="140" t="s">
        <v>37</v>
      </c>
      <c r="B6032" s="46">
        <v>44144</v>
      </c>
      <c r="C6032" s="4">
        <v>137</v>
      </c>
      <c r="D6032" s="29">
        <f t="shared" si="527"/>
        <v>3047</v>
      </c>
      <c r="E6032" s="4">
        <v>4</v>
      </c>
      <c r="F6032" s="129">
        <f t="shared" si="528"/>
        <v>61</v>
      </c>
    </row>
    <row r="6033" spans="1:6" x14ac:dyDescent="0.25">
      <c r="A6033" s="140" t="s">
        <v>38</v>
      </c>
      <c r="B6033" s="46">
        <v>44144</v>
      </c>
      <c r="C6033" s="4">
        <v>156</v>
      </c>
      <c r="D6033" s="29">
        <f t="shared" si="527"/>
        <v>18260</v>
      </c>
      <c r="E6033" s="4">
        <v>8</v>
      </c>
      <c r="F6033" s="129">
        <f t="shared" si="528"/>
        <v>336</v>
      </c>
    </row>
    <row r="6034" spans="1:6" x14ac:dyDescent="0.25">
      <c r="A6034" s="140" t="s">
        <v>48</v>
      </c>
      <c r="B6034" s="46">
        <v>44144</v>
      </c>
      <c r="C6034" s="4">
        <v>-1</v>
      </c>
      <c r="D6034" s="29">
        <f t="shared" si="527"/>
        <v>161</v>
      </c>
      <c r="F6034" s="129">
        <f t="shared" si="528"/>
        <v>3</v>
      </c>
    </row>
    <row r="6035" spans="1:6" x14ac:dyDescent="0.25">
      <c r="A6035" s="140" t="s">
        <v>39</v>
      </c>
      <c r="B6035" s="46">
        <v>44144</v>
      </c>
      <c r="C6035" s="4">
        <v>16</v>
      </c>
      <c r="D6035" s="29">
        <f t="shared" si="527"/>
        <v>18041</v>
      </c>
      <c r="F6035" s="129">
        <f t="shared" si="528"/>
        <v>825</v>
      </c>
    </row>
    <row r="6036" spans="1:6" x14ac:dyDescent="0.25">
      <c r="A6036" s="140" t="s">
        <v>40</v>
      </c>
      <c r="B6036" s="46">
        <v>44144</v>
      </c>
      <c r="C6036" s="4">
        <v>71</v>
      </c>
      <c r="D6036" s="29">
        <f t="shared" si="527"/>
        <v>4192</v>
      </c>
      <c r="F6036" s="129">
        <f t="shared" si="528"/>
        <v>41</v>
      </c>
    </row>
    <row r="6037" spans="1:6" x14ac:dyDescent="0.25">
      <c r="A6037" s="140" t="s">
        <v>28</v>
      </c>
      <c r="B6037" s="46">
        <v>44144</v>
      </c>
      <c r="C6037" s="4">
        <v>21</v>
      </c>
      <c r="D6037" s="29">
        <f t="shared" si="527"/>
        <v>7870</v>
      </c>
      <c r="F6037" s="129">
        <f t="shared" si="528"/>
        <v>292</v>
      </c>
    </row>
    <row r="6038" spans="1:6" x14ac:dyDescent="0.25">
      <c r="A6038" s="140" t="s">
        <v>24</v>
      </c>
      <c r="B6038" s="46">
        <v>44144</v>
      </c>
      <c r="C6038" s="4">
        <v>326</v>
      </c>
      <c r="D6038" s="29">
        <f t="shared" si="527"/>
        <v>50900</v>
      </c>
      <c r="E6038" s="4">
        <v>11</v>
      </c>
      <c r="F6038" s="129">
        <f t="shared" si="528"/>
        <v>935</v>
      </c>
    </row>
    <row r="6039" spans="1:6" x14ac:dyDescent="0.25">
      <c r="A6039" s="140" t="s">
        <v>30</v>
      </c>
      <c r="B6039" s="46">
        <v>44144</v>
      </c>
      <c r="C6039" s="4">
        <v>7</v>
      </c>
      <c r="D6039" s="29">
        <f t="shared" si="527"/>
        <v>340</v>
      </c>
      <c r="E6039" s="4">
        <v>1</v>
      </c>
      <c r="F6039" s="129">
        <f t="shared" si="528"/>
        <v>7</v>
      </c>
    </row>
    <row r="6040" spans="1:6" x14ac:dyDescent="0.25">
      <c r="A6040" s="140" t="s">
        <v>26</v>
      </c>
      <c r="B6040" s="46">
        <v>44144</v>
      </c>
      <c r="C6040" s="4">
        <v>149</v>
      </c>
      <c r="D6040" s="29">
        <f t="shared" si="527"/>
        <v>25403</v>
      </c>
      <c r="E6040" s="4">
        <v>1</v>
      </c>
      <c r="F6040" s="129">
        <f t="shared" si="528"/>
        <v>424</v>
      </c>
    </row>
    <row r="6041" spans="1:6" x14ac:dyDescent="0.25">
      <c r="A6041" s="140" t="s">
        <v>25</v>
      </c>
      <c r="B6041" s="46">
        <v>44144</v>
      </c>
      <c r="C6041" s="4">
        <v>356</v>
      </c>
      <c r="D6041" s="29">
        <f t="shared" si="527"/>
        <v>26585</v>
      </c>
      <c r="E6041" s="4">
        <v>7</v>
      </c>
      <c r="F6041" s="129">
        <f t="shared" si="528"/>
        <v>671</v>
      </c>
    </row>
    <row r="6042" spans="1:6" x14ac:dyDescent="0.25">
      <c r="A6042" s="140" t="s">
        <v>41</v>
      </c>
      <c r="B6042" s="46">
        <v>44144</v>
      </c>
      <c r="C6042" s="4">
        <v>65</v>
      </c>
      <c r="D6042" s="29">
        <f t="shared" ref="D6042:D6048" si="529">C6042+D6018</f>
        <v>19611</v>
      </c>
      <c r="E6042" s="4">
        <v>17</v>
      </c>
      <c r="F6042" s="129">
        <f t="shared" si="528"/>
        <v>913</v>
      </c>
    </row>
    <row r="6043" spans="1:6" x14ac:dyDescent="0.25">
      <c r="A6043" s="140" t="s">
        <v>42</v>
      </c>
      <c r="B6043" s="46">
        <v>44144</v>
      </c>
      <c r="C6043" s="4">
        <v>154</v>
      </c>
      <c r="D6043" s="29">
        <f t="shared" si="529"/>
        <v>3817</v>
      </c>
      <c r="E6043" s="4">
        <v>21</v>
      </c>
      <c r="F6043" s="129">
        <f t="shared" si="528"/>
        <v>123</v>
      </c>
    </row>
    <row r="6044" spans="1:6" x14ac:dyDescent="0.25">
      <c r="A6044" s="140" t="s">
        <v>43</v>
      </c>
      <c r="B6044" s="46">
        <v>44144</v>
      </c>
      <c r="C6044" s="4">
        <v>298</v>
      </c>
      <c r="D6044" s="29">
        <f t="shared" si="529"/>
        <v>9369</v>
      </c>
      <c r="E6044" s="4">
        <v>10</v>
      </c>
      <c r="F6044" s="129">
        <f t="shared" si="528"/>
        <v>132</v>
      </c>
    </row>
    <row r="6045" spans="1:6" x14ac:dyDescent="0.25">
      <c r="A6045" s="140" t="s">
        <v>44</v>
      </c>
      <c r="B6045" s="46">
        <v>44144</v>
      </c>
      <c r="C6045" s="4">
        <v>136</v>
      </c>
      <c r="D6045" s="29">
        <f t="shared" si="529"/>
        <v>11222</v>
      </c>
      <c r="E6045" s="4">
        <v>10</v>
      </c>
      <c r="F6045" s="129">
        <f t="shared" si="528"/>
        <v>175</v>
      </c>
    </row>
    <row r="6046" spans="1:6" x14ac:dyDescent="0.25">
      <c r="A6046" s="140" t="s">
        <v>29</v>
      </c>
      <c r="B6046" s="46">
        <v>44144</v>
      </c>
      <c r="C6046" s="4">
        <v>1291</v>
      </c>
      <c r="D6046" s="29">
        <f t="shared" si="529"/>
        <v>119593</v>
      </c>
      <c r="E6046" s="4">
        <v>60</v>
      </c>
      <c r="F6046" s="129">
        <f t="shared" si="528"/>
        <v>1725</v>
      </c>
    </row>
    <row r="6047" spans="1:6" x14ac:dyDescent="0.25">
      <c r="A6047" s="140" t="s">
        <v>45</v>
      </c>
      <c r="B6047" s="46">
        <v>44144</v>
      </c>
      <c r="C6047" s="4">
        <v>205</v>
      </c>
      <c r="D6047" s="29">
        <f t="shared" si="529"/>
        <v>11531</v>
      </c>
      <c r="E6047" s="4">
        <v>4</v>
      </c>
      <c r="F6047" s="129">
        <f t="shared" si="528"/>
        <v>146</v>
      </c>
    </row>
    <row r="6048" spans="1:6" x14ac:dyDescent="0.25">
      <c r="A6048" s="140" t="s">
        <v>46</v>
      </c>
      <c r="B6048" s="46">
        <v>44144</v>
      </c>
      <c r="C6048" s="4">
        <v>173</v>
      </c>
      <c r="D6048" s="29">
        <f t="shared" si="529"/>
        <v>13309</v>
      </c>
      <c r="E6048" s="4">
        <v>2</v>
      </c>
      <c r="F6048" s="129">
        <f t="shared" si="528"/>
        <v>168</v>
      </c>
    </row>
    <row r="6049" spans="1:6" ht="15.75" thickBot="1" x14ac:dyDescent="0.3">
      <c r="A6049" s="142" t="s">
        <v>47</v>
      </c>
      <c r="B6049" s="46">
        <v>44144</v>
      </c>
      <c r="C6049" s="4">
        <v>641</v>
      </c>
      <c r="D6049" s="85">
        <f>C6049+D6025</f>
        <v>55368</v>
      </c>
      <c r="E6049" s="4">
        <v>33</v>
      </c>
      <c r="F6049" s="139">
        <f t="shared" si="528"/>
        <v>919</v>
      </c>
    </row>
    <row r="6050" spans="1:6" x14ac:dyDescent="0.25">
      <c r="A6050" s="64" t="s">
        <v>22</v>
      </c>
      <c r="B6050" s="46">
        <v>44145</v>
      </c>
      <c r="C6050" s="4">
        <v>3428</v>
      </c>
      <c r="D6050" s="131">
        <f t="shared" ref="D6050:D6113" si="530">C6050+D6026</f>
        <v>576316</v>
      </c>
      <c r="E6050" s="4">
        <v>81</v>
      </c>
      <c r="F6050" s="128">
        <f t="shared" si="528"/>
        <v>18866</v>
      </c>
    </row>
    <row r="6051" spans="1:6" x14ac:dyDescent="0.25">
      <c r="A6051" s="140" t="s">
        <v>20</v>
      </c>
      <c r="B6051" s="46">
        <v>44145</v>
      </c>
      <c r="C6051" s="4">
        <v>560</v>
      </c>
      <c r="D6051" s="29">
        <f t="shared" si="530"/>
        <v>151537</v>
      </c>
      <c r="E6051" s="4">
        <v>16</v>
      </c>
      <c r="F6051" s="129">
        <f t="shared" si="528"/>
        <v>4990</v>
      </c>
    </row>
    <row r="6052" spans="1:6" x14ac:dyDescent="0.25">
      <c r="A6052" s="140" t="s">
        <v>35</v>
      </c>
      <c r="B6052" s="46">
        <v>44145</v>
      </c>
      <c r="C6052" s="4">
        <v>27</v>
      </c>
      <c r="D6052" s="29">
        <f t="shared" si="530"/>
        <v>1251</v>
      </c>
      <c r="F6052" s="129">
        <f t="shared" si="528"/>
        <v>2</v>
      </c>
    </row>
    <row r="6053" spans="1:6" x14ac:dyDescent="0.25">
      <c r="A6053" s="140" t="s">
        <v>21</v>
      </c>
      <c r="B6053" s="46">
        <v>44145</v>
      </c>
      <c r="C6053" s="4">
        <v>144</v>
      </c>
      <c r="D6053" s="29">
        <f t="shared" si="530"/>
        <v>15307</v>
      </c>
      <c r="E6053" s="4">
        <v>6</v>
      </c>
      <c r="F6053" s="129">
        <f t="shared" si="528"/>
        <v>475</v>
      </c>
    </row>
    <row r="6054" spans="1:6" x14ac:dyDescent="0.25">
      <c r="A6054" s="140" t="s">
        <v>36</v>
      </c>
      <c r="B6054" s="46">
        <v>44145</v>
      </c>
      <c r="C6054" s="4">
        <v>511</v>
      </c>
      <c r="D6054" s="29">
        <f t="shared" si="530"/>
        <v>17694</v>
      </c>
      <c r="E6054" s="4">
        <v>13</v>
      </c>
      <c r="F6054" s="129">
        <f t="shared" si="528"/>
        <v>290</v>
      </c>
    </row>
    <row r="6055" spans="1:6" x14ac:dyDescent="0.25">
      <c r="A6055" s="140" t="s">
        <v>27</v>
      </c>
      <c r="B6055" s="46">
        <v>44145</v>
      </c>
      <c r="C6055" s="4">
        <v>1622</v>
      </c>
      <c r="D6055" s="29">
        <f t="shared" si="530"/>
        <v>96067</v>
      </c>
      <c r="E6055" s="4">
        <v>27</v>
      </c>
      <c r="F6055" s="129">
        <f t="shared" si="528"/>
        <v>1529</v>
      </c>
    </row>
    <row r="6056" spans="1:6" x14ac:dyDescent="0.25">
      <c r="A6056" s="140" t="s">
        <v>37</v>
      </c>
      <c r="B6056" s="46">
        <v>44145</v>
      </c>
      <c r="C6056" s="4">
        <v>62</v>
      </c>
      <c r="D6056" s="29">
        <f t="shared" si="530"/>
        <v>3109</v>
      </c>
      <c r="E6056" s="4">
        <v>2</v>
      </c>
      <c r="F6056" s="129">
        <f t="shared" si="528"/>
        <v>63</v>
      </c>
    </row>
    <row r="6057" spans="1:6" x14ac:dyDescent="0.25">
      <c r="A6057" s="140" t="s">
        <v>38</v>
      </c>
      <c r="B6057" s="46">
        <v>44145</v>
      </c>
      <c r="C6057" s="4">
        <v>338</v>
      </c>
      <c r="D6057" s="29">
        <f t="shared" si="530"/>
        <v>18598</v>
      </c>
      <c r="E6057" s="4">
        <v>9</v>
      </c>
      <c r="F6057" s="129">
        <f t="shared" si="528"/>
        <v>345</v>
      </c>
    </row>
    <row r="6058" spans="1:6" x14ac:dyDescent="0.25">
      <c r="A6058" s="140" t="s">
        <v>48</v>
      </c>
      <c r="B6058" s="46">
        <v>44145</v>
      </c>
      <c r="C6058" s="4">
        <v>2</v>
      </c>
      <c r="D6058" s="29">
        <f t="shared" si="530"/>
        <v>163</v>
      </c>
      <c r="F6058" s="129">
        <f t="shared" si="528"/>
        <v>3</v>
      </c>
    </row>
    <row r="6059" spans="1:6" x14ac:dyDescent="0.25">
      <c r="A6059" s="140" t="s">
        <v>39</v>
      </c>
      <c r="B6059" s="46">
        <v>44145</v>
      </c>
      <c r="C6059" s="4">
        <v>24</v>
      </c>
      <c r="D6059" s="29">
        <f t="shared" si="530"/>
        <v>18065</v>
      </c>
      <c r="E6059" s="4">
        <v>7</v>
      </c>
      <c r="F6059" s="129">
        <f t="shared" ref="F6059:F6122" si="531">E6059+F6035</f>
        <v>832</v>
      </c>
    </row>
    <row r="6060" spans="1:6" x14ac:dyDescent="0.25">
      <c r="A6060" s="140" t="s">
        <v>40</v>
      </c>
      <c r="B6060" s="46">
        <v>44145</v>
      </c>
      <c r="C6060" s="4">
        <v>96</v>
      </c>
      <c r="D6060" s="29">
        <f t="shared" si="530"/>
        <v>4288</v>
      </c>
      <c r="E6060" s="4">
        <v>1</v>
      </c>
      <c r="F6060" s="129">
        <f t="shared" si="531"/>
        <v>42</v>
      </c>
    </row>
    <row r="6061" spans="1:6" x14ac:dyDescent="0.25">
      <c r="A6061" s="140" t="s">
        <v>28</v>
      </c>
      <c r="B6061" s="46">
        <v>44145</v>
      </c>
      <c r="C6061" s="4">
        <v>48</v>
      </c>
      <c r="D6061" s="29">
        <f t="shared" si="530"/>
        <v>7918</v>
      </c>
      <c r="F6061" s="129">
        <f t="shared" si="531"/>
        <v>292</v>
      </c>
    </row>
    <row r="6062" spans="1:6" x14ac:dyDescent="0.25">
      <c r="A6062" s="140" t="s">
        <v>24</v>
      </c>
      <c r="B6062" s="46">
        <v>44145</v>
      </c>
      <c r="C6062" s="4">
        <v>520</v>
      </c>
      <c r="D6062" s="29">
        <f t="shared" si="530"/>
        <v>51420</v>
      </c>
      <c r="E6062" s="4">
        <v>16</v>
      </c>
      <c r="F6062" s="129">
        <f t="shared" si="531"/>
        <v>951</v>
      </c>
    </row>
    <row r="6063" spans="1:6" x14ac:dyDescent="0.25">
      <c r="A6063" s="140" t="s">
        <v>30</v>
      </c>
      <c r="B6063" s="46">
        <v>44145</v>
      </c>
      <c r="C6063" s="4">
        <v>21</v>
      </c>
      <c r="D6063" s="29">
        <f t="shared" si="530"/>
        <v>361</v>
      </c>
      <c r="F6063" s="129">
        <f t="shared" si="531"/>
        <v>7</v>
      </c>
    </row>
    <row r="6064" spans="1:6" x14ac:dyDescent="0.25">
      <c r="A6064" s="140" t="s">
        <v>26</v>
      </c>
      <c r="B6064" s="46">
        <v>44145</v>
      </c>
      <c r="C6064" s="4">
        <v>351</v>
      </c>
      <c r="D6064" s="29">
        <f t="shared" si="530"/>
        <v>25754</v>
      </c>
      <c r="E6064" s="4">
        <v>1</v>
      </c>
      <c r="F6064" s="129">
        <f t="shared" si="531"/>
        <v>425</v>
      </c>
    </row>
    <row r="6065" spans="1:6" x14ac:dyDescent="0.25">
      <c r="A6065" s="140" t="s">
        <v>25</v>
      </c>
      <c r="B6065" s="46">
        <v>44145</v>
      </c>
      <c r="C6065" s="4">
        <v>539</v>
      </c>
      <c r="D6065" s="29">
        <f t="shared" si="530"/>
        <v>27124</v>
      </c>
      <c r="E6065" s="4">
        <v>11</v>
      </c>
      <c r="F6065" s="129">
        <f t="shared" si="531"/>
        <v>682</v>
      </c>
    </row>
    <row r="6066" spans="1:6" x14ac:dyDescent="0.25">
      <c r="A6066" s="140" t="s">
        <v>41</v>
      </c>
      <c r="B6066" s="46">
        <v>44145</v>
      </c>
      <c r="C6066" s="4">
        <v>89</v>
      </c>
      <c r="D6066" s="29">
        <f t="shared" si="530"/>
        <v>19700</v>
      </c>
      <c r="E6066" s="4">
        <v>5</v>
      </c>
      <c r="F6066" s="129">
        <f t="shared" si="531"/>
        <v>918</v>
      </c>
    </row>
    <row r="6067" spans="1:6" x14ac:dyDescent="0.25">
      <c r="A6067" s="140" t="s">
        <v>42</v>
      </c>
      <c r="B6067" s="46">
        <v>44145</v>
      </c>
      <c r="C6067" s="4">
        <v>142</v>
      </c>
      <c r="D6067" s="29">
        <f t="shared" si="530"/>
        <v>3959</v>
      </c>
      <c r="F6067" s="129">
        <f t="shared" si="531"/>
        <v>123</v>
      </c>
    </row>
    <row r="6068" spans="1:6" x14ac:dyDescent="0.25">
      <c r="A6068" s="140" t="s">
        <v>43</v>
      </c>
      <c r="B6068" s="46">
        <v>44145</v>
      </c>
      <c r="C6068" s="4">
        <v>452</v>
      </c>
      <c r="D6068" s="29">
        <f t="shared" si="530"/>
        <v>9821</v>
      </c>
      <c r="E6068" s="4">
        <v>2</v>
      </c>
      <c r="F6068" s="129">
        <f t="shared" si="531"/>
        <v>134</v>
      </c>
    </row>
    <row r="6069" spans="1:6" x14ac:dyDescent="0.25">
      <c r="A6069" s="140" t="s">
        <v>44</v>
      </c>
      <c r="B6069" s="46">
        <v>44145</v>
      </c>
      <c r="C6069" s="4">
        <v>257</v>
      </c>
      <c r="D6069" s="29">
        <f t="shared" si="530"/>
        <v>11479</v>
      </c>
      <c r="E6069" s="4">
        <v>5</v>
      </c>
      <c r="F6069" s="129">
        <f t="shared" si="531"/>
        <v>180</v>
      </c>
    </row>
    <row r="6070" spans="1:6" x14ac:dyDescent="0.25">
      <c r="A6070" s="140" t="s">
        <v>29</v>
      </c>
      <c r="B6070" s="46">
        <v>44145</v>
      </c>
      <c r="C6070" s="4">
        <v>1691</v>
      </c>
      <c r="D6070" s="29">
        <f t="shared" si="530"/>
        <v>121284</v>
      </c>
      <c r="E6070" s="4">
        <v>44</v>
      </c>
      <c r="F6070" s="129">
        <f t="shared" si="531"/>
        <v>1769</v>
      </c>
    </row>
    <row r="6071" spans="1:6" x14ac:dyDescent="0.25">
      <c r="A6071" s="140" t="s">
        <v>45</v>
      </c>
      <c r="B6071" s="46">
        <v>44145</v>
      </c>
      <c r="C6071" s="4">
        <v>129</v>
      </c>
      <c r="D6071" s="29">
        <f t="shared" si="530"/>
        <v>11660</v>
      </c>
      <c r="E6071" s="4">
        <v>5</v>
      </c>
      <c r="F6071" s="129">
        <f t="shared" si="531"/>
        <v>151</v>
      </c>
    </row>
    <row r="6072" spans="1:6" x14ac:dyDescent="0.25">
      <c r="A6072" s="140" t="s">
        <v>46</v>
      </c>
      <c r="B6072" s="46">
        <v>44145</v>
      </c>
      <c r="C6072" s="4">
        <v>235</v>
      </c>
      <c r="D6072" s="29">
        <f t="shared" si="530"/>
        <v>13544</v>
      </c>
      <c r="E6072" s="4">
        <v>1</v>
      </c>
      <c r="F6072" s="129">
        <f t="shared" si="531"/>
        <v>169</v>
      </c>
    </row>
    <row r="6073" spans="1:6" ht="15.75" thickBot="1" x14ac:dyDescent="0.3">
      <c r="A6073" s="142" t="s">
        <v>47</v>
      </c>
      <c r="B6073" s="46">
        <v>44145</v>
      </c>
      <c r="C6073" s="4">
        <v>689</v>
      </c>
      <c r="D6073" s="85">
        <f>C6073+D6049</f>
        <v>56057</v>
      </c>
      <c r="E6073" s="4">
        <v>27</v>
      </c>
      <c r="F6073" s="139">
        <f t="shared" si="531"/>
        <v>946</v>
      </c>
    </row>
    <row r="6074" spans="1:6" x14ac:dyDescent="0.25">
      <c r="A6074" s="64" t="s">
        <v>22</v>
      </c>
      <c r="B6074" s="46">
        <v>44146</v>
      </c>
      <c r="C6074" s="4">
        <v>3040</v>
      </c>
      <c r="D6074" s="131">
        <f t="shared" si="530"/>
        <v>579356</v>
      </c>
      <c r="E6074" s="4">
        <v>128</v>
      </c>
      <c r="F6074" s="128">
        <f t="shared" si="531"/>
        <v>18994</v>
      </c>
    </row>
    <row r="6075" spans="1:6" x14ac:dyDescent="0.25">
      <c r="A6075" s="140" t="s">
        <v>20</v>
      </c>
      <c r="B6075" s="46">
        <v>44146</v>
      </c>
      <c r="C6075" s="4">
        <v>549</v>
      </c>
      <c r="D6075" s="29">
        <f t="shared" si="530"/>
        <v>152086</v>
      </c>
      <c r="E6075" s="4">
        <v>10</v>
      </c>
      <c r="F6075" s="129">
        <f t="shared" si="531"/>
        <v>5000</v>
      </c>
    </row>
    <row r="6076" spans="1:6" x14ac:dyDescent="0.25">
      <c r="A6076" s="140" t="s">
        <v>35</v>
      </c>
      <c r="B6076" s="46">
        <v>44146</v>
      </c>
      <c r="C6076" s="4">
        <v>51</v>
      </c>
      <c r="D6076" s="29">
        <f t="shared" si="530"/>
        <v>1302</v>
      </c>
      <c r="F6076" s="129">
        <f t="shared" si="531"/>
        <v>2</v>
      </c>
    </row>
    <row r="6077" spans="1:6" x14ac:dyDescent="0.25">
      <c r="A6077" s="140" t="s">
        <v>21</v>
      </c>
      <c r="B6077" s="46">
        <v>44146</v>
      </c>
      <c r="C6077" s="4">
        <v>205</v>
      </c>
      <c r="D6077" s="29">
        <f t="shared" si="530"/>
        <v>15512</v>
      </c>
      <c r="E6077" s="4">
        <v>2</v>
      </c>
      <c r="F6077" s="129">
        <f t="shared" si="531"/>
        <v>477</v>
      </c>
    </row>
    <row r="6078" spans="1:6" x14ac:dyDescent="0.25">
      <c r="A6078" s="140" t="s">
        <v>36</v>
      </c>
      <c r="B6078" s="46">
        <v>44146</v>
      </c>
      <c r="C6078" s="4">
        <v>354</v>
      </c>
      <c r="D6078" s="29">
        <f t="shared" si="530"/>
        <v>18048</v>
      </c>
      <c r="E6078" s="4">
        <v>7</v>
      </c>
      <c r="F6078" s="129">
        <f t="shared" si="531"/>
        <v>297</v>
      </c>
    </row>
    <row r="6079" spans="1:6" x14ac:dyDescent="0.25">
      <c r="A6079" s="140" t="s">
        <v>27</v>
      </c>
      <c r="B6079" s="46">
        <v>44146</v>
      </c>
      <c r="C6079" s="4">
        <v>1361</v>
      </c>
      <c r="D6079" s="29">
        <f t="shared" si="530"/>
        <v>97428</v>
      </c>
      <c r="E6079" s="4">
        <v>28</v>
      </c>
      <c r="F6079" s="129">
        <f t="shared" si="531"/>
        <v>1557</v>
      </c>
    </row>
    <row r="6080" spans="1:6" x14ac:dyDescent="0.25">
      <c r="A6080" s="140" t="s">
        <v>37</v>
      </c>
      <c r="B6080" s="46">
        <v>44146</v>
      </c>
      <c r="C6080" s="4">
        <v>135</v>
      </c>
      <c r="D6080" s="29">
        <f t="shared" si="530"/>
        <v>3244</v>
      </c>
      <c r="F6080" s="129">
        <f t="shared" si="531"/>
        <v>63</v>
      </c>
    </row>
    <row r="6081" spans="1:6" x14ac:dyDescent="0.25">
      <c r="A6081" s="140" t="s">
        <v>38</v>
      </c>
      <c r="B6081" s="46">
        <v>44146</v>
      </c>
      <c r="C6081" s="4">
        <v>357</v>
      </c>
      <c r="D6081" s="29">
        <f t="shared" si="530"/>
        <v>18955</v>
      </c>
      <c r="E6081" s="4">
        <v>4</v>
      </c>
      <c r="F6081" s="129">
        <f t="shared" si="531"/>
        <v>349</v>
      </c>
    </row>
    <row r="6082" spans="1:6" x14ac:dyDescent="0.25">
      <c r="A6082" s="140" t="s">
        <v>48</v>
      </c>
      <c r="B6082" s="46">
        <v>44146</v>
      </c>
      <c r="C6082" s="4">
        <v>2</v>
      </c>
      <c r="D6082" s="29">
        <f t="shared" si="530"/>
        <v>165</v>
      </c>
      <c r="F6082" s="129">
        <f t="shared" si="531"/>
        <v>3</v>
      </c>
    </row>
    <row r="6083" spans="1:6" x14ac:dyDescent="0.25">
      <c r="A6083" s="140" t="s">
        <v>39</v>
      </c>
      <c r="B6083" s="46">
        <v>44146</v>
      </c>
      <c r="C6083" s="4">
        <v>10</v>
      </c>
      <c r="D6083" s="29">
        <f t="shared" si="530"/>
        <v>18075</v>
      </c>
      <c r="F6083" s="129">
        <f t="shared" si="531"/>
        <v>832</v>
      </c>
    </row>
    <row r="6084" spans="1:6" x14ac:dyDescent="0.25">
      <c r="A6084" s="140" t="s">
        <v>40</v>
      </c>
      <c r="B6084" s="46">
        <v>44146</v>
      </c>
      <c r="C6084" s="4">
        <v>92</v>
      </c>
      <c r="D6084" s="29">
        <f t="shared" si="530"/>
        <v>4380</v>
      </c>
      <c r="E6084" s="4">
        <v>4</v>
      </c>
      <c r="F6084" s="129">
        <f t="shared" si="531"/>
        <v>46</v>
      </c>
    </row>
    <row r="6085" spans="1:6" x14ac:dyDescent="0.25">
      <c r="A6085" s="140" t="s">
        <v>28</v>
      </c>
      <c r="B6085" s="46">
        <v>44146</v>
      </c>
      <c r="C6085" s="4">
        <v>41</v>
      </c>
      <c r="D6085" s="29">
        <f t="shared" si="530"/>
        <v>7959</v>
      </c>
      <c r="F6085" s="129">
        <f t="shared" si="531"/>
        <v>292</v>
      </c>
    </row>
    <row r="6086" spans="1:6" x14ac:dyDescent="0.25">
      <c r="A6086" s="140" t="s">
        <v>24</v>
      </c>
      <c r="B6086" s="46">
        <v>44146</v>
      </c>
      <c r="C6086" s="4">
        <v>474</v>
      </c>
      <c r="D6086" s="29">
        <f t="shared" si="530"/>
        <v>51894</v>
      </c>
      <c r="E6086" s="4">
        <v>41</v>
      </c>
      <c r="F6086" s="129">
        <f t="shared" si="531"/>
        <v>992</v>
      </c>
    </row>
    <row r="6087" spans="1:6" x14ac:dyDescent="0.25">
      <c r="A6087" s="140" t="s">
        <v>30</v>
      </c>
      <c r="B6087" s="46">
        <v>44146</v>
      </c>
      <c r="C6087" s="4">
        <v>-2</v>
      </c>
      <c r="D6087" s="29">
        <f t="shared" si="530"/>
        <v>359</v>
      </c>
      <c r="F6087" s="129">
        <f t="shared" si="531"/>
        <v>7</v>
      </c>
    </row>
    <row r="6088" spans="1:6" x14ac:dyDescent="0.25">
      <c r="A6088" s="140" t="s">
        <v>26</v>
      </c>
      <c r="B6088" s="46">
        <v>44146</v>
      </c>
      <c r="C6088" s="4">
        <v>129</v>
      </c>
      <c r="D6088" s="29">
        <f t="shared" si="530"/>
        <v>25883</v>
      </c>
      <c r="E6088" s="4">
        <v>42</v>
      </c>
      <c r="F6088" s="129">
        <f t="shared" si="531"/>
        <v>467</v>
      </c>
    </row>
    <row r="6089" spans="1:6" x14ac:dyDescent="0.25">
      <c r="A6089" s="140" t="s">
        <v>25</v>
      </c>
      <c r="B6089" s="46">
        <v>44146</v>
      </c>
      <c r="C6089" s="4">
        <v>207</v>
      </c>
      <c r="D6089" s="29">
        <f t="shared" si="530"/>
        <v>27331</v>
      </c>
      <c r="E6089" s="4">
        <v>6</v>
      </c>
      <c r="F6089" s="129">
        <f t="shared" si="531"/>
        <v>688</v>
      </c>
    </row>
    <row r="6090" spans="1:6" x14ac:dyDescent="0.25">
      <c r="A6090" s="140" t="s">
        <v>41</v>
      </c>
      <c r="B6090" s="46">
        <v>44146</v>
      </c>
      <c r="C6090" s="4">
        <v>93</v>
      </c>
      <c r="D6090" s="29">
        <f t="shared" si="530"/>
        <v>19793</v>
      </c>
      <c r="E6090" s="4">
        <v>7</v>
      </c>
      <c r="F6090" s="129">
        <f t="shared" si="531"/>
        <v>925</v>
      </c>
    </row>
    <row r="6091" spans="1:6" x14ac:dyDescent="0.25">
      <c r="A6091" s="140" t="s">
        <v>42</v>
      </c>
      <c r="B6091" s="46">
        <v>44146</v>
      </c>
      <c r="C6091" s="4">
        <v>157</v>
      </c>
      <c r="D6091" s="29">
        <f t="shared" si="530"/>
        <v>4116</v>
      </c>
      <c r="F6091" s="129">
        <f t="shared" si="531"/>
        <v>123</v>
      </c>
    </row>
    <row r="6092" spans="1:6" x14ac:dyDescent="0.25">
      <c r="A6092" s="140" t="s">
        <v>43</v>
      </c>
      <c r="B6092" s="46">
        <v>44146</v>
      </c>
      <c r="C6092" s="4">
        <v>363</v>
      </c>
      <c r="D6092" s="29">
        <f t="shared" si="530"/>
        <v>10184</v>
      </c>
      <c r="E6092" s="4">
        <v>5</v>
      </c>
      <c r="F6092" s="129">
        <f t="shared" si="531"/>
        <v>139</v>
      </c>
    </row>
    <row r="6093" spans="1:6" x14ac:dyDescent="0.25">
      <c r="A6093" s="140" t="s">
        <v>44</v>
      </c>
      <c r="B6093" s="46">
        <v>44146</v>
      </c>
      <c r="C6093" s="4">
        <v>305</v>
      </c>
      <c r="D6093" s="29">
        <f t="shared" si="530"/>
        <v>11784</v>
      </c>
      <c r="E6093" s="4">
        <v>2</v>
      </c>
      <c r="F6093" s="129">
        <f t="shared" si="531"/>
        <v>182</v>
      </c>
    </row>
    <row r="6094" spans="1:6" x14ac:dyDescent="0.25">
      <c r="A6094" s="140" t="s">
        <v>29</v>
      </c>
      <c r="B6094" s="46">
        <v>44146</v>
      </c>
      <c r="C6094" s="4">
        <v>1545</v>
      </c>
      <c r="D6094" s="29">
        <f t="shared" si="530"/>
        <v>122829</v>
      </c>
      <c r="E6094" s="4">
        <v>47</v>
      </c>
      <c r="F6094" s="129">
        <f t="shared" si="531"/>
        <v>1816</v>
      </c>
    </row>
    <row r="6095" spans="1:6" x14ac:dyDescent="0.25">
      <c r="A6095" s="140" t="s">
        <v>45</v>
      </c>
      <c r="B6095" s="46">
        <v>44146</v>
      </c>
      <c r="C6095" s="4">
        <v>252</v>
      </c>
      <c r="D6095" s="29">
        <f t="shared" si="530"/>
        <v>11912</v>
      </c>
      <c r="F6095" s="129">
        <f t="shared" si="531"/>
        <v>151</v>
      </c>
    </row>
    <row r="6096" spans="1:6" x14ac:dyDescent="0.25">
      <c r="A6096" s="140" t="s">
        <v>46</v>
      </c>
      <c r="B6096" s="46">
        <v>44146</v>
      </c>
      <c r="C6096" s="4">
        <v>123</v>
      </c>
      <c r="D6096" s="29">
        <f t="shared" si="530"/>
        <v>13667</v>
      </c>
      <c r="E6096" s="4">
        <v>3</v>
      </c>
      <c r="F6096" s="129">
        <f t="shared" si="531"/>
        <v>172</v>
      </c>
    </row>
    <row r="6097" spans="1:6" ht="15.75" thickBot="1" x14ac:dyDescent="0.3">
      <c r="A6097" s="142" t="s">
        <v>47</v>
      </c>
      <c r="B6097" s="46">
        <v>44146</v>
      </c>
      <c r="C6097" s="4">
        <v>1037</v>
      </c>
      <c r="D6097" s="85">
        <f>C6097+D6073</f>
        <v>57094</v>
      </c>
      <c r="E6097" s="4">
        <v>12</v>
      </c>
      <c r="F6097" s="139">
        <f t="shared" si="531"/>
        <v>958</v>
      </c>
    </row>
    <row r="6098" spans="1:6" x14ac:dyDescent="0.25">
      <c r="A6098" s="64" t="s">
        <v>22</v>
      </c>
      <c r="B6098" s="46">
        <v>44147</v>
      </c>
      <c r="C6098" s="4">
        <v>3391</v>
      </c>
      <c r="D6098" s="131">
        <f t="shared" si="530"/>
        <v>582747</v>
      </c>
      <c r="E6098" s="4">
        <v>69</v>
      </c>
      <c r="F6098" s="128">
        <f t="shared" si="531"/>
        <v>19063</v>
      </c>
    </row>
    <row r="6099" spans="1:6" x14ac:dyDescent="0.25">
      <c r="A6099" s="140" t="s">
        <v>20</v>
      </c>
      <c r="B6099" s="46">
        <v>44147</v>
      </c>
      <c r="C6099" s="4">
        <v>499</v>
      </c>
      <c r="D6099" s="29">
        <f t="shared" si="530"/>
        <v>152585</v>
      </c>
      <c r="E6099" s="4">
        <v>19</v>
      </c>
      <c r="F6099" s="129">
        <f t="shared" si="531"/>
        <v>5019</v>
      </c>
    </row>
    <row r="6100" spans="1:6" x14ac:dyDescent="0.25">
      <c r="A6100" s="140" t="s">
        <v>35</v>
      </c>
      <c r="B6100" s="46">
        <v>44147</v>
      </c>
      <c r="C6100" s="4">
        <v>26</v>
      </c>
      <c r="D6100" s="29">
        <f t="shared" si="530"/>
        <v>1328</v>
      </c>
      <c r="E6100" s="4">
        <v>2</v>
      </c>
      <c r="F6100" s="129">
        <f t="shared" si="531"/>
        <v>4</v>
      </c>
    </row>
    <row r="6101" spans="1:6" x14ac:dyDescent="0.25">
      <c r="A6101" s="140" t="s">
        <v>21</v>
      </c>
      <c r="B6101" s="46">
        <v>44147</v>
      </c>
      <c r="C6101" s="4">
        <v>203</v>
      </c>
      <c r="D6101" s="29">
        <f t="shared" si="530"/>
        <v>15715</v>
      </c>
      <c r="E6101" s="4">
        <v>5</v>
      </c>
      <c r="F6101" s="129">
        <f t="shared" si="531"/>
        <v>482</v>
      </c>
    </row>
    <row r="6102" spans="1:6" x14ac:dyDescent="0.25">
      <c r="A6102" s="140" t="s">
        <v>36</v>
      </c>
      <c r="B6102" s="46">
        <v>44147</v>
      </c>
      <c r="C6102" s="4">
        <v>342</v>
      </c>
      <c r="D6102" s="29">
        <f t="shared" si="530"/>
        <v>18390</v>
      </c>
      <c r="E6102" s="4">
        <v>13</v>
      </c>
      <c r="F6102" s="129">
        <f t="shared" si="531"/>
        <v>310</v>
      </c>
    </row>
    <row r="6103" spans="1:6" x14ac:dyDescent="0.25">
      <c r="A6103" s="140" t="s">
        <v>27</v>
      </c>
      <c r="B6103" s="46">
        <v>44147</v>
      </c>
      <c r="C6103" s="4">
        <v>1432</v>
      </c>
      <c r="D6103" s="29">
        <f t="shared" si="530"/>
        <v>98860</v>
      </c>
      <c r="E6103" s="4">
        <v>26</v>
      </c>
      <c r="F6103" s="129">
        <f t="shared" si="531"/>
        <v>1583</v>
      </c>
    </row>
    <row r="6104" spans="1:6" x14ac:dyDescent="0.25">
      <c r="A6104" s="140" t="s">
        <v>37</v>
      </c>
      <c r="B6104" s="46">
        <v>44147</v>
      </c>
      <c r="C6104" s="4">
        <v>171</v>
      </c>
      <c r="D6104" s="29">
        <f t="shared" si="530"/>
        <v>3415</v>
      </c>
      <c r="E6104" s="4">
        <v>2</v>
      </c>
      <c r="F6104" s="129">
        <f t="shared" si="531"/>
        <v>65</v>
      </c>
    </row>
    <row r="6105" spans="1:6" x14ac:dyDescent="0.25">
      <c r="A6105" s="140" t="s">
        <v>38</v>
      </c>
      <c r="B6105" s="46">
        <v>44147</v>
      </c>
      <c r="C6105" s="4">
        <v>308</v>
      </c>
      <c r="D6105" s="29">
        <f t="shared" si="530"/>
        <v>19263</v>
      </c>
      <c r="E6105" s="4">
        <v>9</v>
      </c>
      <c r="F6105" s="129">
        <f t="shared" si="531"/>
        <v>358</v>
      </c>
    </row>
    <row r="6106" spans="1:6" x14ac:dyDescent="0.25">
      <c r="A6106" s="140" t="s">
        <v>48</v>
      </c>
      <c r="B6106" s="46">
        <v>44147</v>
      </c>
      <c r="C6106" s="4">
        <v>1</v>
      </c>
      <c r="D6106" s="29">
        <f t="shared" si="530"/>
        <v>166</v>
      </c>
      <c r="E6106" s="4">
        <v>0</v>
      </c>
      <c r="F6106" s="129">
        <f t="shared" si="531"/>
        <v>3</v>
      </c>
    </row>
    <row r="6107" spans="1:6" x14ac:dyDescent="0.25">
      <c r="A6107" s="140" t="s">
        <v>39</v>
      </c>
      <c r="B6107" s="46">
        <v>44147</v>
      </c>
      <c r="C6107" s="4">
        <v>20</v>
      </c>
      <c r="D6107" s="29">
        <f t="shared" si="530"/>
        <v>18095</v>
      </c>
      <c r="E6107" s="4">
        <v>4</v>
      </c>
      <c r="F6107" s="129">
        <f t="shared" si="531"/>
        <v>836</v>
      </c>
    </row>
    <row r="6108" spans="1:6" x14ac:dyDescent="0.25">
      <c r="A6108" s="140" t="s">
        <v>40</v>
      </c>
      <c r="B6108" s="46">
        <v>44147</v>
      </c>
      <c r="C6108" s="4">
        <v>86</v>
      </c>
      <c r="D6108" s="29">
        <f t="shared" si="530"/>
        <v>4466</v>
      </c>
      <c r="E6108" s="4">
        <v>2</v>
      </c>
      <c r="F6108" s="129">
        <f t="shared" si="531"/>
        <v>48</v>
      </c>
    </row>
    <row r="6109" spans="1:6" x14ac:dyDescent="0.25">
      <c r="A6109" s="140" t="s">
        <v>28</v>
      </c>
      <c r="B6109" s="46">
        <v>44147</v>
      </c>
      <c r="C6109" s="4">
        <v>48</v>
      </c>
      <c r="D6109" s="29">
        <f t="shared" si="530"/>
        <v>8007</v>
      </c>
      <c r="E6109" s="4">
        <v>6</v>
      </c>
      <c r="F6109" s="129">
        <f t="shared" si="531"/>
        <v>298</v>
      </c>
    </row>
    <row r="6110" spans="1:6" x14ac:dyDescent="0.25">
      <c r="A6110" s="140" t="s">
        <v>24</v>
      </c>
      <c r="B6110" s="46">
        <v>44147</v>
      </c>
      <c r="C6110" s="4">
        <v>380</v>
      </c>
      <c r="D6110" s="29">
        <f t="shared" si="530"/>
        <v>52274</v>
      </c>
      <c r="E6110" s="4">
        <v>7</v>
      </c>
      <c r="F6110" s="129">
        <f t="shared" si="531"/>
        <v>999</v>
      </c>
    </row>
    <row r="6111" spans="1:6" x14ac:dyDescent="0.25">
      <c r="A6111" s="140" t="s">
        <v>30</v>
      </c>
      <c r="B6111" s="46">
        <v>44147</v>
      </c>
      <c r="C6111" s="4">
        <v>0</v>
      </c>
      <c r="D6111" s="29">
        <f t="shared" si="530"/>
        <v>359</v>
      </c>
      <c r="F6111" s="129">
        <f t="shared" si="531"/>
        <v>7</v>
      </c>
    </row>
    <row r="6112" spans="1:6" x14ac:dyDescent="0.25">
      <c r="A6112" s="140" t="s">
        <v>26</v>
      </c>
      <c r="B6112" s="46">
        <v>44147</v>
      </c>
      <c r="C6112" s="4">
        <v>355</v>
      </c>
      <c r="D6112" s="29">
        <f t="shared" si="530"/>
        <v>26238</v>
      </c>
      <c r="E6112" s="4">
        <v>17</v>
      </c>
      <c r="F6112" s="129">
        <f t="shared" si="531"/>
        <v>484</v>
      </c>
    </row>
    <row r="6113" spans="1:6" x14ac:dyDescent="0.25">
      <c r="A6113" s="140" t="s">
        <v>25</v>
      </c>
      <c r="B6113" s="46">
        <v>44147</v>
      </c>
      <c r="C6113" s="4">
        <v>429</v>
      </c>
      <c r="D6113" s="29">
        <f t="shared" si="530"/>
        <v>27760</v>
      </c>
      <c r="E6113" s="4">
        <v>8</v>
      </c>
      <c r="F6113" s="129">
        <f t="shared" si="531"/>
        <v>696</v>
      </c>
    </row>
    <row r="6114" spans="1:6" x14ac:dyDescent="0.25">
      <c r="A6114" s="140" t="s">
        <v>41</v>
      </c>
      <c r="B6114" s="46">
        <v>44147</v>
      </c>
      <c r="C6114" s="4">
        <v>116</v>
      </c>
      <c r="D6114" s="29">
        <f t="shared" ref="D6114:D6120" si="532">C6114+D6090</f>
        <v>19909</v>
      </c>
      <c r="E6114" s="4">
        <v>1</v>
      </c>
      <c r="F6114" s="129">
        <f t="shared" si="531"/>
        <v>926</v>
      </c>
    </row>
    <row r="6115" spans="1:6" x14ac:dyDescent="0.25">
      <c r="A6115" s="140" t="s">
        <v>42</v>
      </c>
      <c r="B6115" s="46">
        <v>44147</v>
      </c>
      <c r="C6115" s="4">
        <v>118</v>
      </c>
      <c r="D6115" s="29">
        <f t="shared" si="532"/>
        <v>4234</v>
      </c>
      <c r="F6115" s="129">
        <f t="shared" si="531"/>
        <v>123</v>
      </c>
    </row>
    <row r="6116" spans="1:6" x14ac:dyDescent="0.25">
      <c r="A6116" s="140" t="s">
        <v>43</v>
      </c>
      <c r="B6116" s="46">
        <v>44147</v>
      </c>
      <c r="C6116" s="4">
        <v>346</v>
      </c>
      <c r="D6116" s="29">
        <f t="shared" si="532"/>
        <v>10530</v>
      </c>
      <c r="E6116" s="4">
        <v>6</v>
      </c>
      <c r="F6116" s="129">
        <f t="shared" si="531"/>
        <v>145</v>
      </c>
    </row>
    <row r="6117" spans="1:6" x14ac:dyDescent="0.25">
      <c r="A6117" s="140" t="s">
        <v>44</v>
      </c>
      <c r="B6117" s="46">
        <v>44147</v>
      </c>
      <c r="C6117" s="4">
        <v>260</v>
      </c>
      <c r="D6117" s="29">
        <f t="shared" si="532"/>
        <v>12044</v>
      </c>
      <c r="E6117" s="4">
        <v>3</v>
      </c>
      <c r="F6117" s="129">
        <f t="shared" si="531"/>
        <v>185</v>
      </c>
    </row>
    <row r="6118" spans="1:6" x14ac:dyDescent="0.25">
      <c r="A6118" s="140" t="s">
        <v>29</v>
      </c>
      <c r="B6118" s="46">
        <v>44147</v>
      </c>
      <c r="C6118" s="4">
        <v>1597</v>
      </c>
      <c r="D6118" s="29">
        <f t="shared" si="532"/>
        <v>124426</v>
      </c>
      <c r="E6118" s="4">
        <v>33</v>
      </c>
      <c r="F6118" s="129">
        <f t="shared" si="531"/>
        <v>1849</v>
      </c>
    </row>
    <row r="6119" spans="1:6" x14ac:dyDescent="0.25">
      <c r="A6119" s="140" t="s">
        <v>45</v>
      </c>
      <c r="B6119" s="46">
        <v>44147</v>
      </c>
      <c r="C6119" s="4">
        <v>188</v>
      </c>
      <c r="D6119" s="29">
        <f t="shared" si="532"/>
        <v>12100</v>
      </c>
      <c r="E6119" s="4">
        <v>1</v>
      </c>
      <c r="F6119" s="129">
        <f t="shared" si="531"/>
        <v>152</v>
      </c>
    </row>
    <row r="6120" spans="1:6" x14ac:dyDescent="0.25">
      <c r="A6120" s="140" t="s">
        <v>46</v>
      </c>
      <c r="B6120" s="46">
        <v>44147</v>
      </c>
      <c r="C6120" s="4">
        <v>214</v>
      </c>
      <c r="D6120" s="29">
        <f t="shared" si="532"/>
        <v>13881</v>
      </c>
      <c r="E6120" s="4">
        <v>16</v>
      </c>
      <c r="F6120" s="129">
        <f t="shared" si="531"/>
        <v>188</v>
      </c>
    </row>
    <row r="6121" spans="1:6" ht="15.75" thickBot="1" x14ac:dyDescent="0.3">
      <c r="A6121" s="142" t="s">
        <v>47</v>
      </c>
      <c r="B6121" s="46">
        <v>44147</v>
      </c>
      <c r="C6121" s="4">
        <v>633</v>
      </c>
      <c r="D6121" s="85">
        <f>C6121+D6097</f>
        <v>57727</v>
      </c>
      <c r="E6121" s="4">
        <v>2</v>
      </c>
      <c r="F6121" s="139">
        <f t="shared" si="531"/>
        <v>960</v>
      </c>
    </row>
    <row r="6122" spans="1:6" x14ac:dyDescent="0.25">
      <c r="A6122" s="64" t="s">
        <v>22</v>
      </c>
      <c r="B6122" s="46">
        <v>44148</v>
      </c>
      <c r="C6122" s="4">
        <v>2761</v>
      </c>
      <c r="D6122" s="131">
        <f t="shared" ref="D6122:D6185" si="533">C6122+D6098</f>
        <v>585508</v>
      </c>
      <c r="E6122" s="4">
        <f>53+34</f>
        <v>87</v>
      </c>
      <c r="F6122" s="128">
        <f t="shared" si="531"/>
        <v>19150</v>
      </c>
    </row>
    <row r="6123" spans="1:6" x14ac:dyDescent="0.25">
      <c r="A6123" s="140" t="s">
        <v>20</v>
      </c>
      <c r="B6123" s="46">
        <v>44148</v>
      </c>
      <c r="C6123" s="4">
        <v>397</v>
      </c>
      <c r="D6123" s="29">
        <f t="shared" si="533"/>
        <v>152982</v>
      </c>
      <c r="E6123" s="4">
        <f>13+3</f>
        <v>16</v>
      </c>
      <c r="F6123" s="129">
        <f t="shared" ref="F6123:F6186" si="534">E6123+F6099</f>
        <v>5035</v>
      </c>
    </row>
    <row r="6124" spans="1:6" x14ac:dyDescent="0.25">
      <c r="A6124" s="140" t="s">
        <v>35</v>
      </c>
      <c r="B6124" s="46">
        <v>44148</v>
      </c>
      <c r="C6124" s="4">
        <v>59</v>
      </c>
      <c r="D6124" s="29">
        <f t="shared" si="533"/>
        <v>1387</v>
      </c>
      <c r="E6124" s="4">
        <f>1+2</f>
        <v>3</v>
      </c>
      <c r="F6124" s="129">
        <f t="shared" si="534"/>
        <v>7</v>
      </c>
    </row>
    <row r="6125" spans="1:6" x14ac:dyDescent="0.25">
      <c r="A6125" s="140" t="s">
        <v>21</v>
      </c>
      <c r="B6125" s="46">
        <v>44148</v>
      </c>
      <c r="C6125" s="4">
        <v>258</v>
      </c>
      <c r="D6125" s="29">
        <f t="shared" si="533"/>
        <v>15973</v>
      </c>
      <c r="E6125" s="4">
        <f>2</f>
        <v>2</v>
      </c>
      <c r="F6125" s="129">
        <f t="shared" si="534"/>
        <v>484</v>
      </c>
    </row>
    <row r="6126" spans="1:6" x14ac:dyDescent="0.25">
      <c r="A6126" s="140" t="s">
        <v>36</v>
      </c>
      <c r="B6126" s="46">
        <v>44148</v>
      </c>
      <c r="C6126" s="4">
        <v>367</v>
      </c>
      <c r="D6126" s="29">
        <f t="shared" si="533"/>
        <v>18757</v>
      </c>
      <c r="E6126" s="4">
        <v>8</v>
      </c>
      <c r="F6126" s="129">
        <f t="shared" si="534"/>
        <v>318</v>
      </c>
    </row>
    <row r="6127" spans="1:6" x14ac:dyDescent="0.25">
      <c r="A6127" s="140" t="s">
        <v>27</v>
      </c>
      <c r="B6127" s="46">
        <v>44148</v>
      </c>
      <c r="C6127" s="4">
        <v>1631</v>
      </c>
      <c r="D6127" s="29">
        <f t="shared" si="533"/>
        <v>100491</v>
      </c>
      <c r="E6127" s="4">
        <f>15+14</f>
        <v>29</v>
      </c>
      <c r="F6127" s="129">
        <f t="shared" si="534"/>
        <v>1612</v>
      </c>
    </row>
    <row r="6128" spans="1:6" x14ac:dyDescent="0.25">
      <c r="A6128" s="140" t="s">
        <v>37</v>
      </c>
      <c r="B6128" s="46">
        <v>44148</v>
      </c>
      <c r="C6128" s="4">
        <v>64</v>
      </c>
      <c r="D6128" s="29">
        <f t="shared" si="533"/>
        <v>3479</v>
      </c>
      <c r="E6128" s="4">
        <f>3</f>
        <v>3</v>
      </c>
      <c r="F6128" s="129">
        <f t="shared" si="534"/>
        <v>68</v>
      </c>
    </row>
    <row r="6129" spans="1:6" x14ac:dyDescent="0.25">
      <c r="A6129" s="140" t="s">
        <v>38</v>
      </c>
      <c r="B6129" s="46">
        <v>44148</v>
      </c>
      <c r="C6129" s="4">
        <v>297</v>
      </c>
      <c r="D6129" s="29">
        <f t="shared" si="533"/>
        <v>19560</v>
      </c>
      <c r="E6129" s="4">
        <f>2+3</f>
        <v>5</v>
      </c>
      <c r="F6129" s="129">
        <f t="shared" si="534"/>
        <v>363</v>
      </c>
    </row>
    <row r="6130" spans="1:6" x14ac:dyDescent="0.25">
      <c r="A6130" s="140" t="s">
        <v>48</v>
      </c>
      <c r="B6130" s="46">
        <v>44148</v>
      </c>
      <c r="C6130" s="4">
        <v>1</v>
      </c>
      <c r="D6130" s="29">
        <f t="shared" si="533"/>
        <v>167</v>
      </c>
      <c r="F6130" s="129">
        <f t="shared" si="534"/>
        <v>3</v>
      </c>
    </row>
    <row r="6131" spans="1:6" x14ac:dyDescent="0.25">
      <c r="A6131" s="140" t="s">
        <v>39</v>
      </c>
      <c r="B6131" s="46">
        <v>44148</v>
      </c>
      <c r="C6131" s="4">
        <v>30</v>
      </c>
      <c r="D6131" s="29">
        <f t="shared" si="533"/>
        <v>18125</v>
      </c>
      <c r="E6131" s="4">
        <f>1</f>
        <v>1</v>
      </c>
      <c r="F6131" s="129">
        <f t="shared" si="534"/>
        <v>837</v>
      </c>
    </row>
    <row r="6132" spans="1:6" x14ac:dyDescent="0.25">
      <c r="A6132" s="140" t="s">
        <v>40</v>
      </c>
      <c r="B6132" s="46">
        <v>44148</v>
      </c>
      <c r="C6132" s="4">
        <v>82</v>
      </c>
      <c r="D6132" s="29">
        <f t="shared" si="533"/>
        <v>4548</v>
      </c>
      <c r="E6132" s="4">
        <f>1</f>
        <v>1</v>
      </c>
      <c r="F6132" s="129">
        <f t="shared" si="534"/>
        <v>49</v>
      </c>
    </row>
    <row r="6133" spans="1:6" x14ac:dyDescent="0.25">
      <c r="A6133" s="140" t="s">
        <v>28</v>
      </c>
      <c r="B6133" s="46">
        <v>44148</v>
      </c>
      <c r="C6133" s="4">
        <v>69</v>
      </c>
      <c r="D6133" s="29">
        <f t="shared" si="533"/>
        <v>8076</v>
      </c>
      <c r="F6133" s="129">
        <f t="shared" si="534"/>
        <v>298</v>
      </c>
    </row>
    <row r="6134" spans="1:6" x14ac:dyDescent="0.25">
      <c r="A6134" s="140" t="s">
        <v>24</v>
      </c>
      <c r="B6134" s="46">
        <v>44148</v>
      </c>
      <c r="C6134" s="4">
        <v>425</v>
      </c>
      <c r="D6134" s="29">
        <f t="shared" si="533"/>
        <v>52699</v>
      </c>
      <c r="E6134" s="4">
        <f>6+2</f>
        <v>8</v>
      </c>
      <c r="F6134" s="129">
        <f t="shared" si="534"/>
        <v>1007</v>
      </c>
    </row>
    <row r="6135" spans="1:6" x14ac:dyDescent="0.25">
      <c r="A6135" s="140" t="s">
        <v>30</v>
      </c>
      <c r="B6135" s="46">
        <v>44148</v>
      </c>
      <c r="C6135" s="4">
        <v>9</v>
      </c>
      <c r="D6135" s="29">
        <f t="shared" si="533"/>
        <v>368</v>
      </c>
      <c r="F6135" s="129">
        <f t="shared" si="534"/>
        <v>7</v>
      </c>
    </row>
    <row r="6136" spans="1:6" x14ac:dyDescent="0.25">
      <c r="A6136" s="140" t="s">
        <v>26</v>
      </c>
      <c r="B6136" s="46">
        <v>44148</v>
      </c>
      <c r="C6136" s="4">
        <v>255</v>
      </c>
      <c r="D6136" s="29">
        <f t="shared" si="533"/>
        <v>26493</v>
      </c>
      <c r="E6136" s="4">
        <f>24+8</f>
        <v>32</v>
      </c>
      <c r="F6136" s="129">
        <f t="shared" si="534"/>
        <v>516</v>
      </c>
    </row>
    <row r="6137" spans="1:6" x14ac:dyDescent="0.25">
      <c r="A6137" s="140" t="s">
        <v>25</v>
      </c>
      <c r="B6137" s="46">
        <v>44148</v>
      </c>
      <c r="C6137" s="4">
        <v>335</v>
      </c>
      <c r="D6137" s="29">
        <f t="shared" si="533"/>
        <v>28095</v>
      </c>
      <c r="E6137" s="4">
        <f>5+3</f>
        <v>8</v>
      </c>
      <c r="F6137" s="129">
        <f t="shared" si="534"/>
        <v>704</v>
      </c>
    </row>
    <row r="6138" spans="1:6" x14ac:dyDescent="0.25">
      <c r="A6138" s="140" t="s">
        <v>41</v>
      </c>
      <c r="B6138" s="46">
        <v>44148</v>
      </c>
      <c r="C6138" s="4">
        <v>157</v>
      </c>
      <c r="D6138" s="29">
        <f t="shared" si="533"/>
        <v>20066</v>
      </c>
      <c r="E6138" s="4">
        <f>1+2</f>
        <v>3</v>
      </c>
      <c r="F6138" s="129">
        <f t="shared" si="534"/>
        <v>929</v>
      </c>
    </row>
    <row r="6139" spans="1:6" x14ac:dyDescent="0.25">
      <c r="A6139" s="140" t="s">
        <v>42</v>
      </c>
      <c r="B6139" s="46">
        <v>44148</v>
      </c>
      <c r="C6139" s="4">
        <v>98</v>
      </c>
      <c r="D6139" s="29">
        <f t="shared" si="533"/>
        <v>4332</v>
      </c>
      <c r="E6139" s="4">
        <f>10+3</f>
        <v>13</v>
      </c>
      <c r="F6139" s="129">
        <f t="shared" si="534"/>
        <v>136</v>
      </c>
    </row>
    <row r="6140" spans="1:6" x14ac:dyDescent="0.25">
      <c r="A6140" s="140" t="s">
        <v>43</v>
      </c>
      <c r="B6140" s="46">
        <v>44148</v>
      </c>
      <c r="C6140" s="4">
        <v>465</v>
      </c>
      <c r="D6140" s="29">
        <f t="shared" si="533"/>
        <v>10995</v>
      </c>
      <c r="E6140" s="4">
        <f>4+3</f>
        <v>7</v>
      </c>
      <c r="F6140" s="129">
        <f t="shared" si="534"/>
        <v>152</v>
      </c>
    </row>
    <row r="6141" spans="1:6" x14ac:dyDescent="0.25">
      <c r="A6141" s="140" t="s">
        <v>44</v>
      </c>
      <c r="B6141" s="46">
        <v>44148</v>
      </c>
      <c r="C6141" s="4">
        <v>265</v>
      </c>
      <c r="D6141" s="29">
        <f t="shared" si="533"/>
        <v>12309</v>
      </c>
      <c r="E6141" s="4">
        <f>1</f>
        <v>1</v>
      </c>
      <c r="F6141" s="129">
        <f t="shared" si="534"/>
        <v>186</v>
      </c>
    </row>
    <row r="6142" spans="1:6" x14ac:dyDescent="0.25">
      <c r="A6142" s="140" t="s">
        <v>29</v>
      </c>
      <c r="B6142" s="46">
        <v>44148</v>
      </c>
      <c r="C6142" s="4">
        <v>1683</v>
      </c>
      <c r="D6142" s="29">
        <f t="shared" si="533"/>
        <v>126109</v>
      </c>
      <c r="E6142" s="4">
        <f>6+2</f>
        <v>8</v>
      </c>
      <c r="F6142" s="129">
        <f t="shared" si="534"/>
        <v>1857</v>
      </c>
    </row>
    <row r="6143" spans="1:6" x14ac:dyDescent="0.25">
      <c r="A6143" s="140" t="s">
        <v>45</v>
      </c>
      <c r="B6143" s="46">
        <v>44148</v>
      </c>
      <c r="C6143" s="4">
        <v>504</v>
      </c>
      <c r="D6143" s="29">
        <f t="shared" si="533"/>
        <v>12604</v>
      </c>
      <c r="E6143" s="4">
        <f>3</f>
        <v>3</v>
      </c>
      <c r="F6143" s="129">
        <f t="shared" si="534"/>
        <v>155</v>
      </c>
    </row>
    <row r="6144" spans="1:6" x14ac:dyDescent="0.25">
      <c r="A6144" s="140" t="s">
        <v>46</v>
      </c>
      <c r="B6144" s="46">
        <v>44148</v>
      </c>
      <c r="C6144" s="4">
        <v>171</v>
      </c>
      <c r="D6144" s="29">
        <f t="shared" si="533"/>
        <v>14052</v>
      </c>
      <c r="E6144" s="4">
        <f>5+1</f>
        <v>6</v>
      </c>
      <c r="F6144" s="129">
        <f t="shared" si="534"/>
        <v>194</v>
      </c>
    </row>
    <row r="6145" spans="1:6" ht="15.75" thickBot="1" x14ac:dyDescent="0.3">
      <c r="A6145" s="142" t="s">
        <v>47</v>
      </c>
      <c r="B6145" s="46">
        <v>44148</v>
      </c>
      <c r="C6145" s="4">
        <v>1476</v>
      </c>
      <c r="D6145" s="85">
        <f>C6145+D6121</f>
        <v>59203</v>
      </c>
      <c r="E6145" s="4">
        <f>7+4</f>
        <v>11</v>
      </c>
      <c r="F6145" s="139">
        <f t="shared" si="534"/>
        <v>971</v>
      </c>
    </row>
    <row r="6146" spans="1:6" x14ac:dyDescent="0.25">
      <c r="A6146" s="64" t="s">
        <v>22</v>
      </c>
      <c r="B6146" s="46">
        <v>44149</v>
      </c>
      <c r="C6146" s="4">
        <v>2300</v>
      </c>
      <c r="D6146" s="131">
        <f t="shared" si="533"/>
        <v>587808</v>
      </c>
      <c r="E6146" s="4">
        <f>105+72</f>
        <v>177</v>
      </c>
      <c r="F6146" s="128">
        <f t="shared" si="534"/>
        <v>19327</v>
      </c>
    </row>
    <row r="6147" spans="1:6" x14ac:dyDescent="0.25">
      <c r="A6147" s="140" t="s">
        <v>20</v>
      </c>
      <c r="B6147" s="46">
        <v>44149</v>
      </c>
      <c r="C6147" s="4">
        <v>506</v>
      </c>
      <c r="D6147" s="29">
        <f t="shared" si="533"/>
        <v>153488</v>
      </c>
      <c r="E6147" s="4">
        <f>6+8</f>
        <v>14</v>
      </c>
      <c r="F6147" s="129">
        <f t="shared" si="534"/>
        <v>5049</v>
      </c>
    </row>
    <row r="6148" spans="1:6" x14ac:dyDescent="0.25">
      <c r="A6148" s="140" t="s">
        <v>35</v>
      </c>
      <c r="B6148" s="46">
        <v>44149</v>
      </c>
      <c r="C6148" s="4">
        <v>34</v>
      </c>
      <c r="D6148" s="29">
        <f t="shared" si="533"/>
        <v>1421</v>
      </c>
      <c r="F6148" s="129">
        <f t="shared" si="534"/>
        <v>7</v>
      </c>
    </row>
    <row r="6149" spans="1:6" x14ac:dyDescent="0.25">
      <c r="A6149" s="140" t="s">
        <v>21</v>
      </c>
      <c r="B6149" s="46">
        <v>44149</v>
      </c>
      <c r="C6149" s="4">
        <v>215</v>
      </c>
      <c r="D6149" s="29">
        <f t="shared" si="533"/>
        <v>16188</v>
      </c>
      <c r="E6149" s="4">
        <f>2</f>
        <v>2</v>
      </c>
      <c r="F6149" s="129">
        <f t="shared" si="534"/>
        <v>486</v>
      </c>
    </row>
    <row r="6150" spans="1:6" x14ac:dyDescent="0.25">
      <c r="A6150" s="140" t="s">
        <v>36</v>
      </c>
      <c r="B6150" s="46">
        <v>44149</v>
      </c>
      <c r="C6150" s="4">
        <v>275</v>
      </c>
      <c r="D6150" s="29">
        <f t="shared" si="533"/>
        <v>19032</v>
      </c>
      <c r="E6150" s="4">
        <f>1+1</f>
        <v>2</v>
      </c>
      <c r="F6150" s="129">
        <f t="shared" si="534"/>
        <v>320</v>
      </c>
    </row>
    <row r="6151" spans="1:6" x14ac:dyDescent="0.25">
      <c r="A6151" s="140" t="s">
        <v>27</v>
      </c>
      <c r="B6151" s="46">
        <v>44149</v>
      </c>
      <c r="C6151" s="4">
        <v>1139</v>
      </c>
      <c r="D6151" s="29">
        <f t="shared" si="533"/>
        <v>101630</v>
      </c>
      <c r="E6151" s="4">
        <f>8+11</f>
        <v>19</v>
      </c>
      <c r="F6151" s="129">
        <f t="shared" si="534"/>
        <v>1631</v>
      </c>
    </row>
    <row r="6152" spans="1:6" x14ac:dyDescent="0.25">
      <c r="A6152" s="140" t="s">
        <v>37</v>
      </c>
      <c r="B6152" s="46">
        <v>44149</v>
      </c>
      <c r="C6152" s="4">
        <v>144</v>
      </c>
      <c r="D6152" s="29">
        <f t="shared" si="533"/>
        <v>3623</v>
      </c>
      <c r="E6152" s="4">
        <f>1</f>
        <v>1</v>
      </c>
      <c r="F6152" s="129">
        <f t="shared" si="534"/>
        <v>69</v>
      </c>
    </row>
    <row r="6153" spans="1:6" x14ac:dyDescent="0.25">
      <c r="A6153" s="140" t="s">
        <v>38</v>
      </c>
      <c r="B6153" s="46">
        <v>44149</v>
      </c>
      <c r="C6153" s="4">
        <v>306</v>
      </c>
      <c r="D6153" s="29">
        <f t="shared" si="533"/>
        <v>19866</v>
      </c>
      <c r="E6153" s="4">
        <f>5+2</f>
        <v>7</v>
      </c>
      <c r="F6153" s="129">
        <f t="shared" si="534"/>
        <v>370</v>
      </c>
    </row>
    <row r="6154" spans="1:6" x14ac:dyDescent="0.25">
      <c r="A6154" s="140" t="s">
        <v>48</v>
      </c>
      <c r="B6154" s="46">
        <v>44149</v>
      </c>
      <c r="C6154" s="4">
        <v>1</v>
      </c>
      <c r="D6154" s="29">
        <f t="shared" si="533"/>
        <v>168</v>
      </c>
      <c r="F6154" s="129">
        <f t="shared" si="534"/>
        <v>3</v>
      </c>
    </row>
    <row r="6155" spans="1:6" x14ac:dyDescent="0.25">
      <c r="A6155" s="140" t="s">
        <v>39</v>
      </c>
      <c r="B6155" s="46">
        <v>44149</v>
      </c>
      <c r="C6155" s="4">
        <v>22</v>
      </c>
      <c r="D6155" s="29">
        <f t="shared" si="533"/>
        <v>18147</v>
      </c>
      <c r="E6155" s="4">
        <f>1</f>
        <v>1</v>
      </c>
      <c r="F6155" s="129">
        <f t="shared" si="534"/>
        <v>838</v>
      </c>
    </row>
    <row r="6156" spans="1:6" x14ac:dyDescent="0.25">
      <c r="A6156" s="140" t="s">
        <v>40</v>
      </c>
      <c r="B6156" s="46">
        <v>44149</v>
      </c>
      <c r="C6156" s="4">
        <v>95</v>
      </c>
      <c r="D6156" s="29">
        <f t="shared" si="533"/>
        <v>4643</v>
      </c>
      <c r="F6156" s="129">
        <f t="shared" si="534"/>
        <v>49</v>
      </c>
    </row>
    <row r="6157" spans="1:6" x14ac:dyDescent="0.25">
      <c r="A6157" s="140" t="s">
        <v>28</v>
      </c>
      <c r="B6157" s="46">
        <v>44149</v>
      </c>
      <c r="C6157" s="4">
        <v>80</v>
      </c>
      <c r="D6157" s="29">
        <f t="shared" si="533"/>
        <v>8156</v>
      </c>
      <c r="F6157" s="129">
        <f t="shared" si="534"/>
        <v>298</v>
      </c>
    </row>
    <row r="6158" spans="1:6" x14ac:dyDescent="0.25">
      <c r="A6158" s="140" t="s">
        <v>24</v>
      </c>
      <c r="B6158" s="46">
        <v>44149</v>
      </c>
      <c r="C6158" s="4">
        <v>294</v>
      </c>
      <c r="D6158" s="29">
        <f t="shared" si="533"/>
        <v>52993</v>
      </c>
      <c r="E6158" s="4">
        <f>1+2</f>
        <v>3</v>
      </c>
      <c r="F6158" s="129">
        <f t="shared" si="534"/>
        <v>1010</v>
      </c>
    </row>
    <row r="6159" spans="1:6" x14ac:dyDescent="0.25">
      <c r="A6159" s="140" t="s">
        <v>30</v>
      </c>
      <c r="B6159" s="46">
        <v>44149</v>
      </c>
      <c r="C6159" s="4">
        <v>4</v>
      </c>
      <c r="D6159" s="29">
        <f t="shared" si="533"/>
        <v>372</v>
      </c>
      <c r="F6159" s="129">
        <f t="shared" si="534"/>
        <v>7</v>
      </c>
    </row>
    <row r="6160" spans="1:6" x14ac:dyDescent="0.25">
      <c r="A6160" s="140" t="s">
        <v>26</v>
      </c>
      <c r="B6160" s="46">
        <v>44149</v>
      </c>
      <c r="C6160" s="4">
        <v>181</v>
      </c>
      <c r="D6160" s="29">
        <f t="shared" si="533"/>
        <v>26674</v>
      </c>
      <c r="F6160" s="129">
        <f t="shared" si="534"/>
        <v>516</v>
      </c>
    </row>
    <row r="6161" spans="1:6" x14ac:dyDescent="0.25">
      <c r="A6161" s="140" t="s">
        <v>25</v>
      </c>
      <c r="B6161" s="46">
        <v>44149</v>
      </c>
      <c r="C6161" s="4">
        <v>217</v>
      </c>
      <c r="D6161" s="29">
        <f t="shared" si="533"/>
        <v>28312</v>
      </c>
      <c r="E6161" s="4">
        <f>4+3</f>
        <v>7</v>
      </c>
      <c r="F6161" s="129">
        <f t="shared" si="534"/>
        <v>711</v>
      </c>
    </row>
    <row r="6162" spans="1:6" x14ac:dyDescent="0.25">
      <c r="A6162" s="140" t="s">
        <v>41</v>
      </c>
      <c r="B6162" s="46">
        <v>44149</v>
      </c>
      <c r="C6162" s="4">
        <v>59</v>
      </c>
      <c r="D6162" s="29">
        <f t="shared" si="533"/>
        <v>20125</v>
      </c>
      <c r="E6162" s="4">
        <f>3+2</f>
        <v>5</v>
      </c>
      <c r="F6162" s="129">
        <f t="shared" si="534"/>
        <v>934</v>
      </c>
    </row>
    <row r="6163" spans="1:6" x14ac:dyDescent="0.25">
      <c r="A6163" s="140" t="s">
        <v>42</v>
      </c>
      <c r="B6163" s="46">
        <v>44149</v>
      </c>
      <c r="C6163" s="4">
        <v>88</v>
      </c>
      <c r="D6163" s="29">
        <f t="shared" si="533"/>
        <v>4420</v>
      </c>
      <c r="F6163" s="129">
        <f t="shared" si="534"/>
        <v>136</v>
      </c>
    </row>
    <row r="6164" spans="1:6" x14ac:dyDescent="0.25">
      <c r="A6164" s="140" t="s">
        <v>43</v>
      </c>
      <c r="B6164" s="46">
        <v>44149</v>
      </c>
      <c r="C6164" s="4">
        <v>199</v>
      </c>
      <c r="D6164" s="29">
        <f t="shared" si="533"/>
        <v>11194</v>
      </c>
      <c r="F6164" s="129">
        <f t="shared" si="534"/>
        <v>152</v>
      </c>
    </row>
    <row r="6165" spans="1:6" x14ac:dyDescent="0.25">
      <c r="A6165" s="140" t="s">
        <v>44</v>
      </c>
      <c r="B6165" s="46">
        <v>44149</v>
      </c>
      <c r="C6165" s="4">
        <v>160</v>
      </c>
      <c r="D6165" s="29">
        <f t="shared" si="533"/>
        <v>12469</v>
      </c>
      <c r="E6165" s="4">
        <f>1</f>
        <v>1</v>
      </c>
      <c r="F6165" s="129">
        <f t="shared" si="534"/>
        <v>187</v>
      </c>
    </row>
    <row r="6166" spans="1:6" x14ac:dyDescent="0.25">
      <c r="A6166" s="140" t="s">
        <v>29</v>
      </c>
      <c r="B6166" s="46">
        <v>44149</v>
      </c>
      <c r="C6166" s="4">
        <v>1339</v>
      </c>
      <c r="D6166" s="29">
        <f t="shared" si="533"/>
        <v>127448</v>
      </c>
      <c r="E6166" s="4">
        <f>7+5</f>
        <v>12</v>
      </c>
      <c r="F6166" s="129">
        <f t="shared" si="534"/>
        <v>1869</v>
      </c>
    </row>
    <row r="6167" spans="1:6" x14ac:dyDescent="0.25">
      <c r="A6167" s="140" t="s">
        <v>45</v>
      </c>
      <c r="B6167" s="46">
        <v>44149</v>
      </c>
      <c r="C6167" s="4">
        <v>264</v>
      </c>
      <c r="D6167" s="29">
        <f t="shared" si="533"/>
        <v>12868</v>
      </c>
      <c r="E6167" s="4">
        <f>2</f>
        <v>2</v>
      </c>
      <c r="F6167" s="129">
        <f t="shared" si="534"/>
        <v>157</v>
      </c>
    </row>
    <row r="6168" spans="1:6" x14ac:dyDescent="0.25">
      <c r="A6168" s="140" t="s">
        <v>46</v>
      </c>
      <c r="B6168" s="46">
        <v>44149</v>
      </c>
      <c r="C6168" s="4">
        <v>120</v>
      </c>
      <c r="D6168" s="29">
        <f t="shared" si="533"/>
        <v>14172</v>
      </c>
      <c r="E6168" s="4">
        <f>1</f>
        <v>1</v>
      </c>
      <c r="F6168" s="129">
        <f t="shared" si="534"/>
        <v>195</v>
      </c>
    </row>
    <row r="6169" spans="1:6" ht="15.75" thickBot="1" x14ac:dyDescent="0.3">
      <c r="A6169" s="142" t="s">
        <v>47</v>
      </c>
      <c r="B6169" s="46">
        <v>44149</v>
      </c>
      <c r="C6169" s="4">
        <v>426</v>
      </c>
      <c r="D6169" s="85">
        <f>C6169+D6145</f>
        <v>59629</v>
      </c>
      <c r="E6169" s="4">
        <f>3+5</f>
        <v>8</v>
      </c>
      <c r="F6169" s="139">
        <f t="shared" si="534"/>
        <v>979</v>
      </c>
    </row>
    <row r="6170" spans="1:6" x14ac:dyDescent="0.25">
      <c r="A6170" s="64" t="s">
        <v>22</v>
      </c>
      <c r="B6170" s="46">
        <v>44150</v>
      </c>
      <c r="C6170" s="4">
        <v>1446</v>
      </c>
      <c r="D6170" s="131">
        <f t="shared" si="533"/>
        <v>589254</v>
      </c>
      <c r="E6170" s="4">
        <f>37+32</f>
        <v>69</v>
      </c>
      <c r="F6170" s="128">
        <f t="shared" si="534"/>
        <v>19396</v>
      </c>
    </row>
    <row r="6171" spans="1:6" x14ac:dyDescent="0.25">
      <c r="A6171" s="140" t="s">
        <v>20</v>
      </c>
      <c r="B6171" s="46">
        <v>44150</v>
      </c>
      <c r="C6171" s="4">
        <v>297</v>
      </c>
      <c r="D6171" s="29">
        <f t="shared" si="533"/>
        <v>153785</v>
      </c>
      <c r="E6171" s="4">
        <f>3+2</f>
        <v>5</v>
      </c>
      <c r="F6171" s="129">
        <f t="shared" si="534"/>
        <v>5054</v>
      </c>
    </row>
    <row r="6172" spans="1:6" x14ac:dyDescent="0.25">
      <c r="A6172" s="140" t="s">
        <v>35</v>
      </c>
      <c r="B6172" s="46">
        <v>44150</v>
      </c>
      <c r="C6172" s="4">
        <v>45</v>
      </c>
      <c r="D6172" s="29">
        <f t="shared" si="533"/>
        <v>1466</v>
      </c>
      <c r="F6172" s="129">
        <f t="shared" si="534"/>
        <v>7</v>
      </c>
    </row>
    <row r="6173" spans="1:6" x14ac:dyDescent="0.25">
      <c r="A6173" s="140" t="s">
        <v>21</v>
      </c>
      <c r="B6173" s="46">
        <v>44150</v>
      </c>
      <c r="C6173" s="4">
        <v>130</v>
      </c>
      <c r="D6173" s="29">
        <f t="shared" si="533"/>
        <v>16318</v>
      </c>
      <c r="E6173" s="4">
        <f>2+2</f>
        <v>4</v>
      </c>
      <c r="F6173" s="129">
        <f t="shared" si="534"/>
        <v>490</v>
      </c>
    </row>
    <row r="6174" spans="1:6" x14ac:dyDescent="0.25">
      <c r="A6174" s="140" t="s">
        <v>36</v>
      </c>
      <c r="B6174" s="46">
        <v>44150</v>
      </c>
      <c r="C6174" s="4">
        <v>159</v>
      </c>
      <c r="D6174" s="29">
        <f t="shared" si="533"/>
        <v>19191</v>
      </c>
      <c r="E6174" s="4">
        <v>2</v>
      </c>
      <c r="F6174" s="129">
        <f t="shared" si="534"/>
        <v>322</v>
      </c>
    </row>
    <row r="6175" spans="1:6" x14ac:dyDescent="0.25">
      <c r="A6175" s="140" t="s">
        <v>27</v>
      </c>
      <c r="B6175" s="46">
        <v>44150</v>
      </c>
      <c r="C6175" s="4">
        <v>832</v>
      </c>
      <c r="D6175" s="29">
        <f t="shared" si="533"/>
        <v>102462</v>
      </c>
      <c r="E6175" s="4">
        <f>9+5</f>
        <v>14</v>
      </c>
      <c r="F6175" s="129">
        <f t="shared" si="534"/>
        <v>1645</v>
      </c>
    </row>
    <row r="6176" spans="1:6" x14ac:dyDescent="0.25">
      <c r="A6176" s="140" t="s">
        <v>37</v>
      </c>
      <c r="B6176" s="46">
        <v>44150</v>
      </c>
      <c r="C6176" s="4">
        <v>93</v>
      </c>
      <c r="D6176" s="29">
        <f t="shared" si="533"/>
        <v>3716</v>
      </c>
      <c r="F6176" s="129">
        <f t="shared" si="534"/>
        <v>69</v>
      </c>
    </row>
    <row r="6177" spans="1:6" x14ac:dyDescent="0.25">
      <c r="A6177" s="140" t="s">
        <v>38</v>
      </c>
      <c r="B6177" s="46">
        <v>44150</v>
      </c>
      <c r="C6177" s="4">
        <v>180</v>
      </c>
      <c r="D6177" s="29">
        <f t="shared" si="533"/>
        <v>20046</v>
      </c>
      <c r="E6177" s="4">
        <f>1+2</f>
        <v>3</v>
      </c>
      <c r="F6177" s="129">
        <f t="shared" si="534"/>
        <v>373</v>
      </c>
    </row>
    <row r="6178" spans="1:6" x14ac:dyDescent="0.25">
      <c r="A6178" s="140" t="s">
        <v>48</v>
      </c>
      <c r="B6178" s="46">
        <v>44150</v>
      </c>
      <c r="C6178" s="4">
        <v>0</v>
      </c>
      <c r="D6178" s="29">
        <f t="shared" si="533"/>
        <v>168</v>
      </c>
      <c r="F6178" s="129">
        <f t="shared" si="534"/>
        <v>3</v>
      </c>
    </row>
    <row r="6179" spans="1:6" x14ac:dyDescent="0.25">
      <c r="A6179" s="140" t="s">
        <v>39</v>
      </c>
      <c r="B6179" s="46">
        <v>44150</v>
      </c>
      <c r="C6179" s="4">
        <v>21</v>
      </c>
      <c r="D6179" s="29">
        <f t="shared" si="533"/>
        <v>18168</v>
      </c>
      <c r="F6179" s="129">
        <f t="shared" si="534"/>
        <v>838</v>
      </c>
    </row>
    <row r="6180" spans="1:6" x14ac:dyDescent="0.25">
      <c r="A6180" s="140" t="s">
        <v>40</v>
      </c>
      <c r="B6180" s="46">
        <v>44150</v>
      </c>
      <c r="C6180" s="4">
        <v>65</v>
      </c>
      <c r="D6180" s="29">
        <f t="shared" si="533"/>
        <v>4708</v>
      </c>
      <c r="F6180" s="129">
        <f t="shared" si="534"/>
        <v>49</v>
      </c>
    </row>
    <row r="6181" spans="1:6" x14ac:dyDescent="0.25">
      <c r="A6181" s="140" t="s">
        <v>28</v>
      </c>
      <c r="B6181" s="46">
        <v>44150</v>
      </c>
      <c r="C6181" s="4">
        <v>24</v>
      </c>
      <c r="D6181" s="29">
        <f t="shared" si="533"/>
        <v>8180</v>
      </c>
      <c r="F6181" s="129">
        <f t="shared" si="534"/>
        <v>298</v>
      </c>
    </row>
    <row r="6182" spans="1:6" x14ac:dyDescent="0.25">
      <c r="A6182" s="140" t="s">
        <v>24</v>
      </c>
      <c r="B6182" s="46">
        <v>44150</v>
      </c>
      <c r="C6182" s="4">
        <v>94</v>
      </c>
      <c r="D6182" s="29">
        <f t="shared" si="533"/>
        <v>53087</v>
      </c>
      <c r="E6182" s="4">
        <f>2</f>
        <v>2</v>
      </c>
      <c r="F6182" s="129">
        <f t="shared" si="534"/>
        <v>1012</v>
      </c>
    </row>
    <row r="6183" spans="1:6" x14ac:dyDescent="0.25">
      <c r="A6183" s="140" t="s">
        <v>30</v>
      </c>
      <c r="B6183" s="46">
        <v>44150</v>
      </c>
      <c r="C6183" s="4">
        <v>3</v>
      </c>
      <c r="D6183" s="29">
        <f t="shared" si="533"/>
        <v>375</v>
      </c>
      <c r="F6183" s="129">
        <f t="shared" si="534"/>
        <v>7</v>
      </c>
    </row>
    <row r="6184" spans="1:6" x14ac:dyDescent="0.25">
      <c r="A6184" s="140" t="s">
        <v>26</v>
      </c>
      <c r="B6184" s="46">
        <v>44150</v>
      </c>
      <c r="C6184" s="4">
        <v>234</v>
      </c>
      <c r="D6184" s="29">
        <f t="shared" si="533"/>
        <v>26908</v>
      </c>
      <c r="E6184" s="4">
        <v>2</v>
      </c>
      <c r="F6184" s="129">
        <f t="shared" si="534"/>
        <v>518</v>
      </c>
    </row>
    <row r="6185" spans="1:6" x14ac:dyDescent="0.25">
      <c r="A6185" s="140" t="s">
        <v>25</v>
      </c>
      <c r="B6185" s="46">
        <v>44150</v>
      </c>
      <c r="C6185" s="4">
        <v>132</v>
      </c>
      <c r="D6185" s="29">
        <f t="shared" si="533"/>
        <v>28444</v>
      </c>
      <c r="E6185" s="4">
        <f>4+2</f>
        <v>6</v>
      </c>
      <c r="F6185" s="129">
        <f t="shared" si="534"/>
        <v>717</v>
      </c>
    </row>
    <row r="6186" spans="1:6" x14ac:dyDescent="0.25">
      <c r="A6186" s="140" t="s">
        <v>41</v>
      </c>
      <c r="B6186" s="46">
        <v>44150</v>
      </c>
      <c r="C6186" s="4">
        <v>67</v>
      </c>
      <c r="D6186" s="29">
        <f t="shared" ref="D6186:D6192" si="535">C6186+D6162</f>
        <v>20192</v>
      </c>
      <c r="F6186" s="129">
        <f t="shared" si="534"/>
        <v>934</v>
      </c>
    </row>
    <row r="6187" spans="1:6" x14ac:dyDescent="0.25">
      <c r="A6187" s="140" t="s">
        <v>42</v>
      </c>
      <c r="B6187" s="46">
        <v>44150</v>
      </c>
      <c r="C6187" s="4">
        <v>29</v>
      </c>
      <c r="D6187" s="29">
        <f t="shared" si="535"/>
        <v>4449</v>
      </c>
      <c r="F6187" s="129">
        <f t="shared" ref="F6187:F6250" si="536">E6187+F6163</f>
        <v>136</v>
      </c>
    </row>
    <row r="6188" spans="1:6" x14ac:dyDescent="0.25">
      <c r="A6188" s="140" t="s">
        <v>43</v>
      </c>
      <c r="B6188" s="46">
        <v>44150</v>
      </c>
      <c r="C6188" s="4">
        <v>180</v>
      </c>
      <c r="D6188" s="29">
        <f t="shared" si="535"/>
        <v>11374</v>
      </c>
      <c r="F6188" s="129">
        <f t="shared" si="536"/>
        <v>152</v>
      </c>
    </row>
    <row r="6189" spans="1:6" x14ac:dyDescent="0.25">
      <c r="A6189" s="140" t="s">
        <v>44</v>
      </c>
      <c r="B6189" s="46">
        <v>44150</v>
      </c>
      <c r="C6189" s="4">
        <v>186</v>
      </c>
      <c r="D6189" s="29">
        <f t="shared" si="535"/>
        <v>12655</v>
      </c>
      <c r="E6189" s="4">
        <f>3+1</f>
        <v>4</v>
      </c>
      <c r="F6189" s="129">
        <f t="shared" si="536"/>
        <v>191</v>
      </c>
    </row>
    <row r="6190" spans="1:6" x14ac:dyDescent="0.25">
      <c r="A6190" s="140" t="s">
        <v>29</v>
      </c>
      <c r="B6190" s="46">
        <v>44150</v>
      </c>
      <c r="C6190" s="4">
        <v>685</v>
      </c>
      <c r="D6190" s="29">
        <f t="shared" si="535"/>
        <v>128133</v>
      </c>
      <c r="E6190" s="4">
        <f>4+5</f>
        <v>9</v>
      </c>
      <c r="F6190" s="129">
        <f t="shared" si="536"/>
        <v>1878</v>
      </c>
    </row>
    <row r="6191" spans="1:6" x14ac:dyDescent="0.25">
      <c r="A6191" s="140" t="s">
        <v>45</v>
      </c>
      <c r="B6191" s="46">
        <v>44150</v>
      </c>
      <c r="C6191" s="4">
        <v>251</v>
      </c>
      <c r="D6191" s="29">
        <f t="shared" si="535"/>
        <v>13119</v>
      </c>
      <c r="F6191" s="129">
        <f t="shared" si="536"/>
        <v>157</v>
      </c>
    </row>
    <row r="6192" spans="1:6" x14ac:dyDescent="0.25">
      <c r="A6192" s="140" t="s">
        <v>46</v>
      </c>
      <c r="B6192" s="46">
        <v>44150</v>
      </c>
      <c r="C6192" s="4">
        <v>89</v>
      </c>
      <c r="D6192" s="29">
        <f t="shared" si="535"/>
        <v>14261</v>
      </c>
      <c r="E6192" s="4">
        <f>1</f>
        <v>1</v>
      </c>
      <c r="F6192" s="129">
        <f t="shared" si="536"/>
        <v>196</v>
      </c>
    </row>
    <row r="6193" spans="1:6" ht="15.75" thickBot="1" x14ac:dyDescent="0.3">
      <c r="A6193" s="142" t="s">
        <v>47</v>
      </c>
      <c r="B6193" s="46">
        <v>44150</v>
      </c>
      <c r="C6193" s="4">
        <v>403</v>
      </c>
      <c r="D6193" s="85">
        <f>C6193+D6169</f>
        <v>60032</v>
      </c>
      <c r="F6193" s="139">
        <f t="shared" si="536"/>
        <v>979</v>
      </c>
    </row>
    <row r="6194" spans="1:6" x14ac:dyDescent="0.25">
      <c r="A6194" s="64" t="s">
        <v>22</v>
      </c>
      <c r="B6194" s="46">
        <v>44151</v>
      </c>
      <c r="C6194" s="4">
        <v>2190</v>
      </c>
      <c r="D6194" s="131">
        <f t="shared" ref="D6194:D6257" si="537">C6194+D6170</f>
        <v>591444</v>
      </c>
      <c r="E6194" s="4">
        <f>65+40</f>
        <v>105</v>
      </c>
      <c r="F6194" s="128">
        <f t="shared" si="536"/>
        <v>19501</v>
      </c>
    </row>
    <row r="6195" spans="1:6" x14ac:dyDescent="0.25">
      <c r="A6195" s="140" t="s">
        <v>20</v>
      </c>
      <c r="B6195" s="46">
        <v>44151</v>
      </c>
      <c r="C6195" s="4">
        <v>383</v>
      </c>
      <c r="D6195" s="29">
        <f t="shared" si="537"/>
        <v>154168</v>
      </c>
      <c r="E6195" s="4">
        <f>11+8</f>
        <v>19</v>
      </c>
      <c r="F6195" s="129">
        <f t="shared" si="536"/>
        <v>5073</v>
      </c>
    </row>
    <row r="6196" spans="1:6" x14ac:dyDescent="0.25">
      <c r="A6196" s="140" t="s">
        <v>35</v>
      </c>
      <c r="B6196" s="46">
        <v>44151</v>
      </c>
      <c r="C6196" s="4">
        <v>98</v>
      </c>
      <c r="D6196" s="29">
        <f t="shared" si="537"/>
        <v>1564</v>
      </c>
      <c r="F6196" s="129">
        <f t="shared" si="536"/>
        <v>7</v>
      </c>
    </row>
    <row r="6197" spans="1:6" x14ac:dyDescent="0.25">
      <c r="A6197" s="140" t="s">
        <v>21</v>
      </c>
      <c r="B6197" s="46">
        <v>44151</v>
      </c>
      <c r="C6197" s="4">
        <v>150</v>
      </c>
      <c r="D6197" s="29">
        <f t="shared" si="537"/>
        <v>16468</v>
      </c>
      <c r="E6197" s="4">
        <f>10+3</f>
        <v>13</v>
      </c>
      <c r="F6197" s="129">
        <f t="shared" si="536"/>
        <v>503</v>
      </c>
    </row>
    <row r="6198" spans="1:6" x14ac:dyDescent="0.25">
      <c r="A6198" s="140" t="s">
        <v>36</v>
      </c>
      <c r="B6198" s="46">
        <v>44151</v>
      </c>
      <c r="C6198" s="4">
        <v>212</v>
      </c>
      <c r="D6198" s="29">
        <f t="shared" si="537"/>
        <v>19403</v>
      </c>
      <c r="E6198" s="4">
        <f>1+1</f>
        <v>2</v>
      </c>
      <c r="F6198" s="129">
        <f t="shared" si="536"/>
        <v>324</v>
      </c>
    </row>
    <row r="6199" spans="1:6" x14ac:dyDescent="0.25">
      <c r="A6199" s="140" t="s">
        <v>27</v>
      </c>
      <c r="B6199" s="46">
        <v>44151</v>
      </c>
      <c r="C6199" s="4">
        <v>701</v>
      </c>
      <c r="D6199" s="29">
        <f t="shared" si="537"/>
        <v>103163</v>
      </c>
      <c r="E6199" s="4">
        <f>19+8</f>
        <v>27</v>
      </c>
      <c r="F6199" s="129">
        <f t="shared" si="536"/>
        <v>1672</v>
      </c>
    </row>
    <row r="6200" spans="1:6" x14ac:dyDescent="0.25">
      <c r="A6200" s="140" t="s">
        <v>37</v>
      </c>
      <c r="B6200" s="46">
        <v>44151</v>
      </c>
      <c r="C6200" s="4">
        <v>122</v>
      </c>
      <c r="D6200" s="29">
        <f t="shared" si="537"/>
        <v>3838</v>
      </c>
      <c r="F6200" s="129">
        <f t="shared" si="536"/>
        <v>69</v>
      </c>
    </row>
    <row r="6201" spans="1:6" x14ac:dyDescent="0.25">
      <c r="A6201" s="140" t="s">
        <v>38</v>
      </c>
      <c r="B6201" s="46">
        <v>44151</v>
      </c>
      <c r="C6201" s="4">
        <v>157</v>
      </c>
      <c r="D6201" s="29">
        <f t="shared" si="537"/>
        <v>20203</v>
      </c>
      <c r="E6201" s="4">
        <f>6+5</f>
        <v>11</v>
      </c>
      <c r="F6201" s="129">
        <f t="shared" si="536"/>
        <v>384</v>
      </c>
    </row>
    <row r="6202" spans="1:6" x14ac:dyDescent="0.25">
      <c r="A6202" s="140" t="s">
        <v>48</v>
      </c>
      <c r="B6202" s="46">
        <v>44151</v>
      </c>
      <c r="C6202" s="4">
        <v>2</v>
      </c>
      <c r="D6202" s="29">
        <f t="shared" si="537"/>
        <v>170</v>
      </c>
      <c r="F6202" s="129">
        <f t="shared" si="536"/>
        <v>3</v>
      </c>
    </row>
    <row r="6203" spans="1:6" x14ac:dyDescent="0.25">
      <c r="A6203" s="140" t="s">
        <v>39</v>
      </c>
      <c r="B6203" s="46">
        <v>44151</v>
      </c>
      <c r="C6203" s="4">
        <v>24</v>
      </c>
      <c r="D6203" s="29">
        <f t="shared" si="537"/>
        <v>18192</v>
      </c>
      <c r="F6203" s="129">
        <f t="shared" si="536"/>
        <v>838</v>
      </c>
    </row>
    <row r="6204" spans="1:6" x14ac:dyDescent="0.25">
      <c r="A6204" s="140" t="s">
        <v>40</v>
      </c>
      <c r="B6204" s="46">
        <v>44151</v>
      </c>
      <c r="C6204" s="4">
        <v>61</v>
      </c>
      <c r="D6204" s="29">
        <f t="shared" si="537"/>
        <v>4769</v>
      </c>
      <c r="E6204" s="4">
        <f>1+1</f>
        <v>2</v>
      </c>
      <c r="F6204" s="129">
        <f t="shared" si="536"/>
        <v>51</v>
      </c>
    </row>
    <row r="6205" spans="1:6" x14ac:dyDescent="0.25">
      <c r="A6205" s="140" t="s">
        <v>28</v>
      </c>
      <c r="B6205" s="46">
        <v>44151</v>
      </c>
      <c r="C6205" s="4">
        <v>45</v>
      </c>
      <c r="D6205" s="29">
        <f t="shared" si="537"/>
        <v>8225</v>
      </c>
      <c r="E6205" s="4">
        <f>1</f>
        <v>1</v>
      </c>
      <c r="F6205" s="129">
        <f t="shared" si="536"/>
        <v>299</v>
      </c>
    </row>
    <row r="6206" spans="1:6" x14ac:dyDescent="0.25">
      <c r="A6206" s="140" t="s">
        <v>24</v>
      </c>
      <c r="B6206" s="46">
        <v>44151</v>
      </c>
      <c r="C6206" s="4">
        <v>429</v>
      </c>
      <c r="D6206" s="29">
        <f t="shared" si="537"/>
        <v>53516</v>
      </c>
      <c r="E6206" s="4">
        <f>1+3+6</f>
        <v>10</v>
      </c>
      <c r="F6206" s="129">
        <f t="shared" si="536"/>
        <v>1022</v>
      </c>
    </row>
    <row r="6207" spans="1:6" x14ac:dyDescent="0.25">
      <c r="A6207" s="140" t="s">
        <v>30</v>
      </c>
      <c r="B6207" s="46">
        <v>44151</v>
      </c>
      <c r="C6207" s="4">
        <v>16</v>
      </c>
      <c r="D6207" s="29">
        <f t="shared" si="537"/>
        <v>391</v>
      </c>
      <c r="F6207" s="129">
        <f t="shared" si="536"/>
        <v>7</v>
      </c>
    </row>
    <row r="6208" spans="1:6" x14ac:dyDescent="0.25">
      <c r="A6208" s="140" t="s">
        <v>26</v>
      </c>
      <c r="B6208" s="46">
        <v>44151</v>
      </c>
      <c r="C6208" s="4">
        <v>403</v>
      </c>
      <c r="D6208" s="29">
        <f t="shared" si="537"/>
        <v>27311</v>
      </c>
      <c r="E6208" s="4">
        <f>4+1</f>
        <v>5</v>
      </c>
      <c r="F6208" s="129">
        <f t="shared" si="536"/>
        <v>523</v>
      </c>
    </row>
    <row r="6209" spans="1:6" x14ac:dyDescent="0.25">
      <c r="A6209" s="140" t="s">
        <v>25</v>
      </c>
      <c r="B6209" s="46">
        <v>44151</v>
      </c>
      <c r="C6209" s="4">
        <v>198</v>
      </c>
      <c r="D6209" s="29">
        <f t="shared" si="537"/>
        <v>28642</v>
      </c>
      <c r="E6209" s="4">
        <f>2+7</f>
        <v>9</v>
      </c>
      <c r="F6209" s="129">
        <f t="shared" si="536"/>
        <v>726</v>
      </c>
    </row>
    <row r="6210" spans="1:6" x14ac:dyDescent="0.25">
      <c r="A6210" s="140" t="s">
        <v>41</v>
      </c>
      <c r="B6210" s="46">
        <v>44151</v>
      </c>
      <c r="C6210" s="4">
        <v>43</v>
      </c>
      <c r="D6210" s="29">
        <f t="shared" si="537"/>
        <v>20235</v>
      </c>
      <c r="E6210" s="4">
        <f>3+2</f>
        <v>5</v>
      </c>
      <c r="F6210" s="129">
        <f t="shared" si="536"/>
        <v>939</v>
      </c>
    </row>
    <row r="6211" spans="1:6" x14ac:dyDescent="0.25">
      <c r="A6211" s="140" t="s">
        <v>42</v>
      </c>
      <c r="B6211" s="46">
        <v>44151</v>
      </c>
      <c r="C6211" s="4">
        <v>67</v>
      </c>
      <c r="D6211" s="29">
        <f t="shared" si="537"/>
        <v>4516</v>
      </c>
      <c r="E6211" s="4">
        <f>4+3</f>
        <v>7</v>
      </c>
      <c r="F6211" s="129">
        <f t="shared" si="536"/>
        <v>143</v>
      </c>
    </row>
    <row r="6212" spans="1:6" x14ac:dyDescent="0.25">
      <c r="A6212" s="140" t="s">
        <v>43</v>
      </c>
      <c r="B6212" s="46">
        <v>44151</v>
      </c>
      <c r="C6212" s="4">
        <v>234</v>
      </c>
      <c r="D6212" s="29">
        <f t="shared" si="537"/>
        <v>11608</v>
      </c>
      <c r="F6212" s="129">
        <f t="shared" si="536"/>
        <v>152</v>
      </c>
    </row>
    <row r="6213" spans="1:6" x14ac:dyDescent="0.25">
      <c r="A6213" s="140" t="s">
        <v>44</v>
      </c>
      <c r="B6213" s="46">
        <v>44151</v>
      </c>
      <c r="C6213" s="4">
        <v>123</v>
      </c>
      <c r="D6213" s="29">
        <f t="shared" si="537"/>
        <v>12778</v>
      </c>
      <c r="E6213" s="4">
        <f>1+1</f>
        <v>2</v>
      </c>
      <c r="F6213" s="129">
        <f t="shared" si="536"/>
        <v>193</v>
      </c>
    </row>
    <row r="6214" spans="1:6" x14ac:dyDescent="0.25">
      <c r="A6214" s="140" t="s">
        <v>29</v>
      </c>
      <c r="B6214" s="46">
        <v>44151</v>
      </c>
      <c r="C6214" s="4">
        <v>1319</v>
      </c>
      <c r="D6214" s="29">
        <f t="shared" si="537"/>
        <v>129452</v>
      </c>
      <c r="E6214" s="4">
        <f>11+25</f>
        <v>36</v>
      </c>
      <c r="F6214" s="129">
        <f t="shared" si="536"/>
        <v>1914</v>
      </c>
    </row>
    <row r="6215" spans="1:6" x14ac:dyDescent="0.25">
      <c r="A6215" s="140" t="s">
        <v>45</v>
      </c>
      <c r="B6215" s="46">
        <v>44151</v>
      </c>
      <c r="C6215" s="4">
        <v>192</v>
      </c>
      <c r="D6215" s="29">
        <f t="shared" si="537"/>
        <v>13311</v>
      </c>
      <c r="E6215" s="4">
        <f>2+1</f>
        <v>3</v>
      </c>
      <c r="F6215" s="129">
        <f t="shared" si="536"/>
        <v>160</v>
      </c>
    </row>
    <row r="6216" spans="1:6" x14ac:dyDescent="0.25">
      <c r="A6216" s="140" t="s">
        <v>46</v>
      </c>
      <c r="B6216" s="46">
        <v>44151</v>
      </c>
      <c r="C6216" s="4">
        <v>144</v>
      </c>
      <c r="D6216" s="29">
        <f t="shared" si="537"/>
        <v>14405</v>
      </c>
      <c r="E6216" s="4">
        <f>3+6</f>
        <v>9</v>
      </c>
      <c r="F6216" s="129">
        <f t="shared" si="536"/>
        <v>205</v>
      </c>
    </row>
    <row r="6217" spans="1:6" ht="15.75" thickBot="1" x14ac:dyDescent="0.3">
      <c r="A6217" s="142" t="s">
        <v>47</v>
      </c>
      <c r="B6217" s="46">
        <v>44151</v>
      </c>
      <c r="C6217" s="4">
        <v>580</v>
      </c>
      <c r="D6217" s="85">
        <f>C6217+D6193</f>
        <v>60612</v>
      </c>
      <c r="E6217" s="4">
        <f>17+9</f>
        <v>26</v>
      </c>
      <c r="F6217" s="139">
        <f t="shared" si="536"/>
        <v>1005</v>
      </c>
    </row>
    <row r="6218" spans="1:6" x14ac:dyDescent="0.25">
      <c r="A6218" s="64" t="s">
        <v>22</v>
      </c>
      <c r="B6218" s="46">
        <v>44152</v>
      </c>
      <c r="C6218" s="4">
        <v>2804</v>
      </c>
      <c r="D6218" s="131">
        <f t="shared" si="537"/>
        <v>594248</v>
      </c>
      <c r="E6218" s="4">
        <f>3+91+73</f>
        <v>167</v>
      </c>
      <c r="F6218" s="128">
        <f t="shared" si="536"/>
        <v>19668</v>
      </c>
    </row>
    <row r="6219" spans="1:6" x14ac:dyDescent="0.25">
      <c r="A6219" s="140" t="s">
        <v>20</v>
      </c>
      <c r="B6219" s="46">
        <v>44152</v>
      </c>
      <c r="C6219" s="4">
        <v>428</v>
      </c>
      <c r="D6219" s="29">
        <f t="shared" si="537"/>
        <v>154596</v>
      </c>
      <c r="E6219" s="4">
        <f>5+6</f>
        <v>11</v>
      </c>
      <c r="F6219" s="129">
        <f t="shared" si="536"/>
        <v>5084</v>
      </c>
    </row>
    <row r="6220" spans="1:6" x14ac:dyDescent="0.25">
      <c r="A6220" s="140" t="s">
        <v>35</v>
      </c>
      <c r="B6220" s="46">
        <v>44152</v>
      </c>
      <c r="C6220" s="4">
        <v>17</v>
      </c>
      <c r="D6220" s="29">
        <f t="shared" si="537"/>
        <v>1581</v>
      </c>
      <c r="F6220" s="129">
        <f t="shared" si="536"/>
        <v>7</v>
      </c>
    </row>
    <row r="6221" spans="1:6" x14ac:dyDescent="0.25">
      <c r="A6221" s="140" t="s">
        <v>21</v>
      </c>
      <c r="B6221" s="46">
        <v>44152</v>
      </c>
      <c r="C6221" s="4">
        <v>259</v>
      </c>
      <c r="D6221" s="29">
        <f t="shared" si="537"/>
        <v>16727</v>
      </c>
      <c r="E6221" s="4">
        <f>8+5</f>
        <v>13</v>
      </c>
      <c r="F6221" s="129">
        <f t="shared" si="536"/>
        <v>516</v>
      </c>
    </row>
    <row r="6222" spans="1:6" x14ac:dyDescent="0.25">
      <c r="A6222" s="140" t="s">
        <v>36</v>
      </c>
      <c r="B6222" s="46">
        <v>44152</v>
      </c>
      <c r="C6222" s="4">
        <v>344</v>
      </c>
      <c r="D6222" s="29">
        <f t="shared" si="537"/>
        <v>19747</v>
      </c>
      <c r="E6222" s="4">
        <f>6+2</f>
        <v>8</v>
      </c>
      <c r="F6222" s="129">
        <f t="shared" si="536"/>
        <v>332</v>
      </c>
    </row>
    <row r="6223" spans="1:6" x14ac:dyDescent="0.25">
      <c r="A6223" s="140" t="s">
        <v>27</v>
      </c>
      <c r="B6223" s="46">
        <v>44152</v>
      </c>
      <c r="C6223" s="4">
        <v>1309</v>
      </c>
      <c r="D6223" s="29">
        <f t="shared" si="537"/>
        <v>104472</v>
      </c>
      <c r="E6223" s="4">
        <f>21+6</f>
        <v>27</v>
      </c>
      <c r="F6223" s="129">
        <f t="shared" si="536"/>
        <v>1699</v>
      </c>
    </row>
    <row r="6224" spans="1:6" x14ac:dyDescent="0.25">
      <c r="A6224" s="140" t="s">
        <v>37</v>
      </c>
      <c r="B6224" s="46">
        <v>44152</v>
      </c>
      <c r="C6224" s="4">
        <v>138</v>
      </c>
      <c r="D6224" s="29">
        <f t="shared" si="537"/>
        <v>3976</v>
      </c>
      <c r="E6224" s="4">
        <f>8+3</f>
        <v>11</v>
      </c>
      <c r="F6224" s="129">
        <f t="shared" si="536"/>
        <v>80</v>
      </c>
    </row>
    <row r="6225" spans="1:6" x14ac:dyDescent="0.25">
      <c r="A6225" s="140" t="s">
        <v>38</v>
      </c>
      <c r="B6225" s="46">
        <v>44152</v>
      </c>
      <c r="C6225" s="4">
        <v>348</v>
      </c>
      <c r="D6225" s="29">
        <f t="shared" si="537"/>
        <v>20551</v>
      </c>
      <c r="E6225" s="4">
        <f>4+4</f>
        <v>8</v>
      </c>
      <c r="F6225" s="129">
        <f t="shared" si="536"/>
        <v>392</v>
      </c>
    </row>
    <row r="6226" spans="1:6" x14ac:dyDescent="0.25">
      <c r="A6226" s="140" t="s">
        <v>48</v>
      </c>
      <c r="B6226" s="46">
        <v>44152</v>
      </c>
      <c r="C6226" s="4">
        <v>0</v>
      </c>
      <c r="D6226" s="29">
        <f t="shared" si="537"/>
        <v>170</v>
      </c>
      <c r="F6226" s="129">
        <f t="shared" si="536"/>
        <v>3</v>
      </c>
    </row>
    <row r="6227" spans="1:6" x14ac:dyDescent="0.25">
      <c r="A6227" s="140" t="s">
        <v>39</v>
      </c>
      <c r="B6227" s="46">
        <v>44152</v>
      </c>
      <c r="C6227" s="4">
        <v>21</v>
      </c>
      <c r="D6227" s="29">
        <f t="shared" si="537"/>
        <v>18213</v>
      </c>
      <c r="E6227" s="4">
        <f>1</f>
        <v>1</v>
      </c>
      <c r="F6227" s="129">
        <f t="shared" si="536"/>
        <v>839</v>
      </c>
    </row>
    <row r="6228" spans="1:6" x14ac:dyDescent="0.25">
      <c r="A6228" s="140" t="s">
        <v>40</v>
      </c>
      <c r="B6228" s="46">
        <v>44152</v>
      </c>
      <c r="C6228" s="4">
        <v>65</v>
      </c>
      <c r="D6228" s="29">
        <f t="shared" si="537"/>
        <v>4834</v>
      </c>
      <c r="E6228" s="4">
        <f>5+6</f>
        <v>11</v>
      </c>
      <c r="F6228" s="129">
        <f t="shared" si="536"/>
        <v>62</v>
      </c>
    </row>
    <row r="6229" spans="1:6" x14ac:dyDescent="0.25">
      <c r="A6229" s="140" t="s">
        <v>28</v>
      </c>
      <c r="B6229" s="46">
        <v>44152</v>
      </c>
      <c r="C6229" s="4">
        <v>18</v>
      </c>
      <c r="D6229" s="29">
        <f t="shared" si="537"/>
        <v>8243</v>
      </c>
      <c r="E6229" s="4">
        <f>1</f>
        <v>1</v>
      </c>
      <c r="F6229" s="129">
        <f t="shared" si="536"/>
        <v>300</v>
      </c>
    </row>
    <row r="6230" spans="1:6" x14ac:dyDescent="0.25">
      <c r="A6230" s="140" t="s">
        <v>24</v>
      </c>
      <c r="B6230" s="46">
        <v>44152</v>
      </c>
      <c r="C6230" s="4">
        <v>396</v>
      </c>
      <c r="D6230" s="29">
        <f t="shared" si="537"/>
        <v>53912</v>
      </c>
      <c r="E6230" s="4">
        <f>4+3</f>
        <v>7</v>
      </c>
      <c r="F6230" s="129">
        <f t="shared" si="536"/>
        <v>1029</v>
      </c>
    </row>
    <row r="6231" spans="1:6" x14ac:dyDescent="0.25">
      <c r="A6231" s="140" t="s">
        <v>30</v>
      </c>
      <c r="B6231" s="46">
        <v>44152</v>
      </c>
      <c r="C6231" s="4">
        <v>6</v>
      </c>
      <c r="D6231" s="29">
        <f t="shared" si="537"/>
        <v>397</v>
      </c>
      <c r="F6231" s="129">
        <f t="shared" si="536"/>
        <v>7</v>
      </c>
    </row>
    <row r="6232" spans="1:6" x14ac:dyDescent="0.25">
      <c r="A6232" s="140" t="s">
        <v>26</v>
      </c>
      <c r="B6232" s="46">
        <v>44152</v>
      </c>
      <c r="C6232" s="4">
        <v>999</v>
      </c>
      <c r="D6232" s="29">
        <f t="shared" si="537"/>
        <v>28310</v>
      </c>
      <c r="E6232" s="4">
        <f>18+11</f>
        <v>29</v>
      </c>
      <c r="F6232" s="129">
        <f t="shared" si="536"/>
        <v>552</v>
      </c>
    </row>
    <row r="6233" spans="1:6" x14ac:dyDescent="0.25">
      <c r="A6233" s="140" t="s">
        <v>25</v>
      </c>
      <c r="B6233" s="46">
        <v>44152</v>
      </c>
      <c r="C6233" s="4">
        <v>295</v>
      </c>
      <c r="D6233" s="29">
        <f t="shared" si="537"/>
        <v>28937</v>
      </c>
      <c r="E6233" s="4">
        <f>2+3</f>
        <v>5</v>
      </c>
      <c r="F6233" s="129">
        <f t="shared" si="536"/>
        <v>731</v>
      </c>
    </row>
    <row r="6234" spans="1:6" x14ac:dyDescent="0.25">
      <c r="A6234" s="140" t="s">
        <v>41</v>
      </c>
      <c r="B6234" s="46">
        <v>44152</v>
      </c>
      <c r="C6234" s="4">
        <v>92</v>
      </c>
      <c r="D6234" s="29">
        <f t="shared" si="537"/>
        <v>20327</v>
      </c>
      <c r="E6234" s="4">
        <f>3+1</f>
        <v>4</v>
      </c>
      <c r="F6234" s="129">
        <f t="shared" si="536"/>
        <v>943</v>
      </c>
    </row>
    <row r="6235" spans="1:6" x14ac:dyDescent="0.25">
      <c r="A6235" s="140" t="s">
        <v>42</v>
      </c>
      <c r="B6235" s="46">
        <v>44152</v>
      </c>
      <c r="C6235" s="4">
        <v>172</v>
      </c>
      <c r="D6235" s="29">
        <f t="shared" si="537"/>
        <v>4688</v>
      </c>
      <c r="F6235" s="129">
        <f t="shared" si="536"/>
        <v>143</v>
      </c>
    </row>
    <row r="6236" spans="1:6" x14ac:dyDescent="0.25">
      <c r="A6236" s="140" t="s">
        <v>43</v>
      </c>
      <c r="B6236" s="46">
        <v>44152</v>
      </c>
      <c r="C6236" s="4">
        <v>233</v>
      </c>
      <c r="D6236" s="29">
        <f t="shared" si="537"/>
        <v>11841</v>
      </c>
      <c r="E6236" s="4">
        <f>3+2</f>
        <v>5</v>
      </c>
      <c r="F6236" s="129">
        <f t="shared" si="536"/>
        <v>157</v>
      </c>
    </row>
    <row r="6237" spans="1:6" x14ac:dyDescent="0.25">
      <c r="A6237" s="140" t="s">
        <v>44</v>
      </c>
      <c r="B6237" s="46">
        <v>44152</v>
      </c>
      <c r="C6237" s="4">
        <v>267</v>
      </c>
      <c r="D6237" s="29">
        <f t="shared" si="537"/>
        <v>13045</v>
      </c>
      <c r="E6237" s="4">
        <f>13+5</f>
        <v>18</v>
      </c>
      <c r="F6237" s="129">
        <f t="shared" si="536"/>
        <v>211</v>
      </c>
    </row>
    <row r="6238" spans="1:6" x14ac:dyDescent="0.25">
      <c r="A6238" s="140" t="s">
        <v>29</v>
      </c>
      <c r="B6238" s="46">
        <v>44152</v>
      </c>
      <c r="C6238" s="4">
        <v>1477</v>
      </c>
      <c r="D6238" s="29">
        <f t="shared" si="537"/>
        <v>130929</v>
      </c>
      <c r="E6238" s="4">
        <f>14+19</f>
        <v>33</v>
      </c>
      <c r="F6238" s="129">
        <f t="shared" si="536"/>
        <v>1947</v>
      </c>
    </row>
    <row r="6239" spans="1:6" x14ac:dyDescent="0.25">
      <c r="A6239" s="140" t="s">
        <v>45</v>
      </c>
      <c r="B6239" s="46">
        <v>44152</v>
      </c>
      <c r="C6239" s="4">
        <v>113</v>
      </c>
      <c r="D6239" s="29">
        <f t="shared" si="537"/>
        <v>13424</v>
      </c>
      <c r="E6239" s="4">
        <f>3</f>
        <v>3</v>
      </c>
      <c r="F6239" s="129">
        <f t="shared" si="536"/>
        <v>163</v>
      </c>
    </row>
    <row r="6240" spans="1:6" x14ac:dyDescent="0.25">
      <c r="A6240" s="140" t="s">
        <v>46</v>
      </c>
      <c r="B6240" s="46">
        <v>44152</v>
      </c>
      <c r="C6240" s="4">
        <v>132</v>
      </c>
      <c r="D6240" s="29">
        <f t="shared" si="537"/>
        <v>14537</v>
      </c>
      <c r="E6240" s="4">
        <f>2</f>
        <v>2</v>
      </c>
      <c r="F6240" s="129">
        <f t="shared" si="536"/>
        <v>207</v>
      </c>
    </row>
    <row r="6241" spans="1:6" ht="15.75" thickBot="1" x14ac:dyDescent="0.3">
      <c r="A6241" s="142" t="s">
        <v>47</v>
      </c>
      <c r="B6241" s="46">
        <v>44152</v>
      </c>
      <c r="C6241" s="4">
        <v>688</v>
      </c>
      <c r="D6241" s="85">
        <f>C6241+D6217</f>
        <v>61300</v>
      </c>
      <c r="E6241" s="4">
        <f>9+6</f>
        <v>15</v>
      </c>
      <c r="F6241" s="139">
        <f t="shared" si="536"/>
        <v>1020</v>
      </c>
    </row>
    <row r="6242" spans="1:6" x14ac:dyDescent="0.25">
      <c r="A6242" s="64" t="s">
        <v>22</v>
      </c>
      <c r="B6242" s="46">
        <v>44153</v>
      </c>
      <c r="C6242" s="4">
        <v>2826</v>
      </c>
      <c r="D6242" s="131">
        <f t="shared" si="537"/>
        <v>597074</v>
      </c>
      <c r="E6242" s="4">
        <f>39+29</f>
        <v>68</v>
      </c>
      <c r="F6242" s="128">
        <f t="shared" si="536"/>
        <v>19736</v>
      </c>
    </row>
    <row r="6243" spans="1:6" x14ac:dyDescent="0.25">
      <c r="A6243" s="140" t="s">
        <v>20</v>
      </c>
      <c r="B6243" s="46">
        <v>44153</v>
      </c>
      <c r="C6243" s="4">
        <v>384</v>
      </c>
      <c r="D6243" s="29">
        <f t="shared" si="537"/>
        <v>154980</v>
      </c>
      <c r="E6243" s="4">
        <f>8+13</f>
        <v>21</v>
      </c>
      <c r="F6243" s="129">
        <f t="shared" si="536"/>
        <v>5105</v>
      </c>
    </row>
    <row r="6244" spans="1:6" x14ac:dyDescent="0.25">
      <c r="A6244" s="140" t="s">
        <v>35</v>
      </c>
      <c r="B6244" s="46">
        <v>44153</v>
      </c>
      <c r="C6244" s="4">
        <v>23</v>
      </c>
      <c r="D6244" s="29">
        <f t="shared" si="537"/>
        <v>1604</v>
      </c>
      <c r="E6244" s="4">
        <v>1</v>
      </c>
      <c r="F6244" s="129">
        <f t="shared" si="536"/>
        <v>8</v>
      </c>
    </row>
    <row r="6245" spans="1:6" x14ac:dyDescent="0.25">
      <c r="A6245" s="140" t="s">
        <v>21</v>
      </c>
      <c r="B6245" s="46">
        <v>44153</v>
      </c>
      <c r="C6245" s="4">
        <v>230</v>
      </c>
      <c r="D6245" s="29">
        <f t="shared" si="537"/>
        <v>16957</v>
      </c>
      <c r="E6245" s="4">
        <f>2+1</f>
        <v>3</v>
      </c>
      <c r="F6245" s="129">
        <f t="shared" si="536"/>
        <v>519</v>
      </c>
    </row>
    <row r="6246" spans="1:6" x14ac:dyDescent="0.25">
      <c r="A6246" s="140" t="s">
        <v>36</v>
      </c>
      <c r="B6246" s="46">
        <v>44153</v>
      </c>
      <c r="C6246" s="4">
        <v>366</v>
      </c>
      <c r="D6246" s="29">
        <f t="shared" si="537"/>
        <v>20113</v>
      </c>
      <c r="E6246" s="4">
        <f>5+2</f>
        <v>7</v>
      </c>
      <c r="F6246" s="129">
        <f t="shared" si="536"/>
        <v>339</v>
      </c>
    </row>
    <row r="6247" spans="1:6" x14ac:dyDescent="0.25">
      <c r="A6247" s="140" t="s">
        <v>27</v>
      </c>
      <c r="B6247" s="46">
        <v>44153</v>
      </c>
      <c r="C6247" s="4">
        <v>1381</v>
      </c>
      <c r="D6247" s="29">
        <f t="shared" si="537"/>
        <v>105853</v>
      </c>
      <c r="E6247" s="4">
        <f>19+12</f>
        <v>31</v>
      </c>
      <c r="F6247" s="129">
        <f t="shared" si="536"/>
        <v>1730</v>
      </c>
    </row>
    <row r="6248" spans="1:6" x14ac:dyDescent="0.25">
      <c r="A6248" s="140" t="s">
        <v>37</v>
      </c>
      <c r="B6248" s="46">
        <v>44153</v>
      </c>
      <c r="C6248" s="4">
        <v>272</v>
      </c>
      <c r="D6248" s="29">
        <f t="shared" si="537"/>
        <v>4248</v>
      </c>
      <c r="E6248" s="4">
        <f>3+3</f>
        <v>6</v>
      </c>
      <c r="F6248" s="129">
        <f t="shared" si="536"/>
        <v>86</v>
      </c>
    </row>
    <row r="6249" spans="1:6" x14ac:dyDescent="0.25">
      <c r="A6249" s="140" t="s">
        <v>38</v>
      </c>
      <c r="B6249" s="46">
        <v>44153</v>
      </c>
      <c r="C6249" s="4">
        <v>374</v>
      </c>
      <c r="D6249" s="29">
        <f t="shared" si="537"/>
        <v>20925</v>
      </c>
      <c r="E6249" s="4">
        <v>4</v>
      </c>
      <c r="F6249" s="129">
        <f t="shared" si="536"/>
        <v>396</v>
      </c>
    </row>
    <row r="6250" spans="1:6" x14ac:dyDescent="0.25">
      <c r="A6250" s="140" t="s">
        <v>48</v>
      </c>
      <c r="B6250" s="46">
        <v>44153</v>
      </c>
      <c r="C6250" s="4">
        <v>3</v>
      </c>
      <c r="D6250" s="29">
        <f t="shared" si="537"/>
        <v>173</v>
      </c>
      <c r="F6250" s="129">
        <f t="shared" si="536"/>
        <v>3</v>
      </c>
    </row>
    <row r="6251" spans="1:6" x14ac:dyDescent="0.25">
      <c r="A6251" s="140" t="s">
        <v>39</v>
      </c>
      <c r="B6251" s="46">
        <v>44153</v>
      </c>
      <c r="C6251" s="4">
        <v>27</v>
      </c>
      <c r="D6251" s="29">
        <f t="shared" si="537"/>
        <v>18240</v>
      </c>
      <c r="E6251" s="4">
        <f>1</f>
        <v>1</v>
      </c>
      <c r="F6251" s="129">
        <f t="shared" ref="F6251:F6314" si="538">E6251+F6227</f>
        <v>840</v>
      </c>
    </row>
    <row r="6252" spans="1:6" x14ac:dyDescent="0.25">
      <c r="A6252" s="140" t="s">
        <v>40</v>
      </c>
      <c r="B6252" s="46">
        <v>44153</v>
      </c>
      <c r="C6252" s="4">
        <v>75</v>
      </c>
      <c r="D6252" s="29">
        <f t="shared" si="537"/>
        <v>4909</v>
      </c>
      <c r="E6252" s="4">
        <f>2</f>
        <v>2</v>
      </c>
      <c r="F6252" s="129">
        <f t="shared" si="538"/>
        <v>64</v>
      </c>
    </row>
    <row r="6253" spans="1:6" x14ac:dyDescent="0.25">
      <c r="A6253" s="140" t="s">
        <v>28</v>
      </c>
      <c r="B6253" s="46">
        <v>44153</v>
      </c>
      <c r="C6253" s="4">
        <v>51</v>
      </c>
      <c r="D6253" s="29">
        <f t="shared" si="537"/>
        <v>8294</v>
      </c>
      <c r="E6253" s="4">
        <f>1</f>
        <v>1</v>
      </c>
      <c r="F6253" s="129">
        <f t="shared" si="538"/>
        <v>301</v>
      </c>
    </row>
    <row r="6254" spans="1:6" x14ac:dyDescent="0.25">
      <c r="A6254" s="140" t="s">
        <v>24</v>
      </c>
      <c r="B6254" s="46">
        <v>44153</v>
      </c>
      <c r="C6254" s="4">
        <v>339</v>
      </c>
      <c r="D6254" s="29">
        <f t="shared" si="537"/>
        <v>54251</v>
      </c>
      <c r="E6254" s="4">
        <f>15+9</f>
        <v>24</v>
      </c>
      <c r="F6254" s="129">
        <f t="shared" si="538"/>
        <v>1053</v>
      </c>
    </row>
    <row r="6255" spans="1:6" x14ac:dyDescent="0.25">
      <c r="A6255" s="140" t="s">
        <v>30</v>
      </c>
      <c r="B6255" s="46">
        <v>44153</v>
      </c>
      <c r="C6255" s="4">
        <v>10</v>
      </c>
      <c r="D6255" s="29">
        <f t="shared" si="537"/>
        <v>407</v>
      </c>
      <c r="F6255" s="129">
        <f t="shared" si="538"/>
        <v>7</v>
      </c>
    </row>
    <row r="6256" spans="1:6" x14ac:dyDescent="0.25">
      <c r="A6256" s="140" t="s">
        <v>26</v>
      </c>
      <c r="B6256" s="46">
        <v>44153</v>
      </c>
      <c r="C6256" s="4">
        <v>348</v>
      </c>
      <c r="D6256" s="29">
        <f t="shared" si="537"/>
        <v>28658</v>
      </c>
      <c r="E6256" s="4">
        <f>7+7</f>
        <v>14</v>
      </c>
      <c r="F6256" s="129">
        <f t="shared" si="538"/>
        <v>566</v>
      </c>
    </row>
    <row r="6257" spans="1:6" x14ac:dyDescent="0.25">
      <c r="A6257" s="140" t="s">
        <v>25</v>
      </c>
      <c r="B6257" s="46">
        <v>44153</v>
      </c>
      <c r="C6257" s="4">
        <v>299</v>
      </c>
      <c r="D6257" s="29">
        <f t="shared" si="537"/>
        <v>29236</v>
      </c>
      <c r="E6257" s="4">
        <f>4+4</f>
        <v>8</v>
      </c>
      <c r="F6257" s="129">
        <f t="shared" si="538"/>
        <v>739</v>
      </c>
    </row>
    <row r="6258" spans="1:6" x14ac:dyDescent="0.25">
      <c r="A6258" s="140" t="s">
        <v>41</v>
      </c>
      <c r="B6258" s="46">
        <v>44153</v>
      </c>
      <c r="C6258" s="4">
        <v>112</v>
      </c>
      <c r="D6258" s="29">
        <f t="shared" ref="D6258:D6264" si="539">C6258+D6234</f>
        <v>20439</v>
      </c>
      <c r="E6258" s="4">
        <f>5+4</f>
        <v>9</v>
      </c>
      <c r="F6258" s="129">
        <f t="shared" si="538"/>
        <v>952</v>
      </c>
    </row>
    <row r="6259" spans="1:6" x14ac:dyDescent="0.25">
      <c r="A6259" s="140" t="s">
        <v>42</v>
      </c>
      <c r="B6259" s="46">
        <v>44153</v>
      </c>
      <c r="C6259" s="4">
        <v>174</v>
      </c>
      <c r="D6259" s="29">
        <f t="shared" si="539"/>
        <v>4862</v>
      </c>
      <c r="F6259" s="129">
        <f t="shared" si="538"/>
        <v>143</v>
      </c>
    </row>
    <row r="6260" spans="1:6" x14ac:dyDescent="0.25">
      <c r="A6260" s="140" t="s">
        <v>43</v>
      </c>
      <c r="B6260" s="46">
        <v>44153</v>
      </c>
      <c r="C6260" s="4">
        <v>219</v>
      </c>
      <c r="D6260" s="29">
        <f t="shared" si="539"/>
        <v>12060</v>
      </c>
      <c r="E6260" s="4">
        <f>4+2</f>
        <v>6</v>
      </c>
      <c r="F6260" s="129">
        <f t="shared" si="538"/>
        <v>163</v>
      </c>
    </row>
    <row r="6261" spans="1:6" x14ac:dyDescent="0.25">
      <c r="A6261" s="140" t="s">
        <v>44</v>
      </c>
      <c r="B6261" s="46">
        <v>44153</v>
      </c>
      <c r="C6261" s="4">
        <v>268</v>
      </c>
      <c r="D6261" s="29">
        <f t="shared" si="539"/>
        <v>13313</v>
      </c>
      <c r="E6261" s="4">
        <f>4+2</f>
        <v>6</v>
      </c>
      <c r="F6261" s="129">
        <f t="shared" si="538"/>
        <v>217</v>
      </c>
    </row>
    <row r="6262" spans="1:6" x14ac:dyDescent="0.25">
      <c r="A6262" s="140" t="s">
        <v>29</v>
      </c>
      <c r="B6262" s="46">
        <v>44153</v>
      </c>
      <c r="C6262" s="4">
        <v>1657</v>
      </c>
      <c r="D6262" s="29">
        <f t="shared" si="539"/>
        <v>132586</v>
      </c>
      <c r="E6262" s="4">
        <f>13+10</f>
        <v>23</v>
      </c>
      <c r="F6262" s="129">
        <f t="shared" si="538"/>
        <v>1970</v>
      </c>
    </row>
    <row r="6263" spans="1:6" x14ac:dyDescent="0.25">
      <c r="A6263" s="140" t="s">
        <v>45</v>
      </c>
      <c r="B6263" s="46">
        <v>44153</v>
      </c>
      <c r="C6263" s="4">
        <v>229</v>
      </c>
      <c r="D6263" s="29">
        <f t="shared" si="539"/>
        <v>13653</v>
      </c>
      <c r="F6263" s="129">
        <f t="shared" si="538"/>
        <v>163</v>
      </c>
    </row>
    <row r="6264" spans="1:6" x14ac:dyDescent="0.25">
      <c r="A6264" s="140" t="s">
        <v>46</v>
      </c>
      <c r="B6264" s="46">
        <v>44153</v>
      </c>
      <c r="C6264" s="4">
        <v>132</v>
      </c>
      <c r="D6264" s="29">
        <f t="shared" si="539"/>
        <v>14669</v>
      </c>
      <c r="E6264" s="4">
        <f>2+2</f>
        <v>4</v>
      </c>
      <c r="F6264" s="129">
        <f t="shared" si="538"/>
        <v>211</v>
      </c>
    </row>
    <row r="6265" spans="1:6" ht="15.75" thickBot="1" x14ac:dyDescent="0.3">
      <c r="A6265" s="142" t="s">
        <v>47</v>
      </c>
      <c r="B6265" s="46">
        <v>44153</v>
      </c>
      <c r="C6265" s="47">
        <v>533</v>
      </c>
      <c r="D6265" s="85">
        <f>C6265+D6241</f>
        <v>61833</v>
      </c>
      <c r="E6265" s="47">
        <v>1</v>
      </c>
      <c r="F6265" s="139">
        <f t="shared" si="538"/>
        <v>1021</v>
      </c>
    </row>
    <row r="6266" spans="1:6" x14ac:dyDescent="0.25">
      <c r="A6266" s="64" t="s">
        <v>22</v>
      </c>
      <c r="B6266" s="202">
        <v>44154</v>
      </c>
      <c r="C6266" s="50">
        <v>2743</v>
      </c>
      <c r="D6266" s="131">
        <f t="shared" ref="D6266:D6329" si="540">C6266+D6242</f>
        <v>599817</v>
      </c>
      <c r="E6266" s="50">
        <f>29+18</f>
        <v>47</v>
      </c>
      <c r="F6266" s="128">
        <f t="shared" si="538"/>
        <v>19783</v>
      </c>
    </row>
    <row r="6267" spans="1:6" x14ac:dyDescent="0.25">
      <c r="A6267" s="140" t="s">
        <v>20</v>
      </c>
      <c r="B6267" s="46">
        <v>44154</v>
      </c>
      <c r="C6267" s="4">
        <v>479</v>
      </c>
      <c r="D6267" s="29">
        <f t="shared" si="540"/>
        <v>155459</v>
      </c>
      <c r="E6267" s="4">
        <f>1+3</f>
        <v>4</v>
      </c>
      <c r="F6267" s="129">
        <f t="shared" si="538"/>
        <v>5109</v>
      </c>
    </row>
    <row r="6268" spans="1:6" x14ac:dyDescent="0.25">
      <c r="A6268" s="140" t="s">
        <v>35</v>
      </c>
      <c r="B6268" s="46">
        <v>44154</v>
      </c>
      <c r="C6268" s="4">
        <v>30</v>
      </c>
      <c r="D6268" s="29">
        <f t="shared" si="540"/>
        <v>1634</v>
      </c>
      <c r="F6268" s="129">
        <f t="shared" si="538"/>
        <v>8</v>
      </c>
    </row>
    <row r="6269" spans="1:6" x14ac:dyDescent="0.25">
      <c r="A6269" s="140" t="s">
        <v>21</v>
      </c>
      <c r="B6269" s="46">
        <v>44154</v>
      </c>
      <c r="C6269" s="4">
        <v>290</v>
      </c>
      <c r="D6269" s="29">
        <f t="shared" si="540"/>
        <v>17247</v>
      </c>
      <c r="E6269" s="4">
        <v>1</v>
      </c>
      <c r="F6269" s="129">
        <f t="shared" si="538"/>
        <v>520</v>
      </c>
    </row>
    <row r="6270" spans="1:6" x14ac:dyDescent="0.25">
      <c r="A6270" s="140" t="s">
        <v>36</v>
      </c>
      <c r="B6270" s="46">
        <v>44154</v>
      </c>
      <c r="C6270" s="4">
        <v>324</v>
      </c>
      <c r="D6270" s="29">
        <f t="shared" si="540"/>
        <v>20437</v>
      </c>
      <c r="E6270" s="4">
        <f>7+5</f>
        <v>12</v>
      </c>
      <c r="F6270" s="129">
        <f t="shared" si="538"/>
        <v>351</v>
      </c>
    </row>
    <row r="6271" spans="1:6" x14ac:dyDescent="0.25">
      <c r="A6271" s="140" t="s">
        <v>27</v>
      </c>
      <c r="B6271" s="46">
        <v>44154</v>
      </c>
      <c r="C6271" s="4">
        <v>1051</v>
      </c>
      <c r="D6271" s="29">
        <f t="shared" si="540"/>
        <v>106904</v>
      </c>
      <c r="E6271" s="4">
        <f>10+6</f>
        <v>16</v>
      </c>
      <c r="F6271" s="129">
        <f t="shared" si="538"/>
        <v>1746</v>
      </c>
    </row>
    <row r="6272" spans="1:6" x14ac:dyDescent="0.25">
      <c r="A6272" s="140" t="s">
        <v>37</v>
      </c>
      <c r="B6272" s="46">
        <v>44154</v>
      </c>
      <c r="C6272" s="4">
        <v>261</v>
      </c>
      <c r="D6272" s="29">
        <f t="shared" si="540"/>
        <v>4509</v>
      </c>
      <c r="F6272" s="129">
        <f t="shared" si="538"/>
        <v>86</v>
      </c>
    </row>
    <row r="6273" spans="1:6" x14ac:dyDescent="0.25">
      <c r="A6273" s="140" t="s">
        <v>38</v>
      </c>
      <c r="B6273" s="46">
        <v>44154</v>
      </c>
      <c r="C6273" s="4">
        <v>324</v>
      </c>
      <c r="D6273" s="29">
        <f t="shared" si="540"/>
        <v>21249</v>
      </c>
      <c r="E6273" s="4">
        <f>5+1</f>
        <v>6</v>
      </c>
      <c r="F6273" s="129">
        <f t="shared" si="538"/>
        <v>402</v>
      </c>
    </row>
    <row r="6274" spans="1:6" x14ac:dyDescent="0.25">
      <c r="A6274" s="140" t="s">
        <v>48</v>
      </c>
      <c r="B6274" s="46">
        <v>44154</v>
      </c>
      <c r="C6274" s="4">
        <v>1</v>
      </c>
      <c r="D6274" s="29">
        <f t="shared" si="540"/>
        <v>174</v>
      </c>
      <c r="F6274" s="129">
        <f t="shared" si="538"/>
        <v>3</v>
      </c>
    </row>
    <row r="6275" spans="1:6" x14ac:dyDescent="0.25">
      <c r="A6275" s="140" t="s">
        <v>39</v>
      </c>
      <c r="B6275" s="46">
        <v>44154</v>
      </c>
      <c r="C6275" s="4">
        <v>12</v>
      </c>
      <c r="D6275" s="29">
        <f t="shared" si="540"/>
        <v>18252</v>
      </c>
      <c r="F6275" s="129">
        <f t="shared" si="538"/>
        <v>840</v>
      </c>
    </row>
    <row r="6276" spans="1:6" x14ac:dyDescent="0.25">
      <c r="A6276" s="140" t="s">
        <v>40</v>
      </c>
      <c r="B6276" s="46">
        <v>44154</v>
      </c>
      <c r="C6276" s="4">
        <v>63</v>
      </c>
      <c r="D6276" s="29">
        <f t="shared" si="540"/>
        <v>4972</v>
      </c>
      <c r="F6276" s="129">
        <f t="shared" si="538"/>
        <v>64</v>
      </c>
    </row>
    <row r="6277" spans="1:6" x14ac:dyDescent="0.25">
      <c r="A6277" s="140" t="s">
        <v>28</v>
      </c>
      <c r="B6277" s="46">
        <v>44154</v>
      </c>
      <c r="C6277" s="4">
        <v>68</v>
      </c>
      <c r="D6277" s="29">
        <f t="shared" si="540"/>
        <v>8362</v>
      </c>
      <c r="E6277" s="4">
        <f>2+1</f>
        <v>3</v>
      </c>
      <c r="F6277" s="129">
        <f t="shared" si="538"/>
        <v>304</v>
      </c>
    </row>
    <row r="6278" spans="1:6" x14ac:dyDescent="0.25">
      <c r="A6278" s="140" t="s">
        <v>24</v>
      </c>
      <c r="B6278" s="46">
        <v>44154</v>
      </c>
      <c r="C6278" s="4">
        <v>243</v>
      </c>
      <c r="D6278" s="29">
        <f t="shared" si="540"/>
        <v>54494</v>
      </c>
      <c r="E6278" s="4">
        <f>3+2</f>
        <v>5</v>
      </c>
      <c r="F6278" s="129">
        <f t="shared" si="538"/>
        <v>1058</v>
      </c>
    </row>
    <row r="6279" spans="1:6" x14ac:dyDescent="0.25">
      <c r="A6279" s="140" t="s">
        <v>30</v>
      </c>
      <c r="B6279" s="46">
        <v>44154</v>
      </c>
      <c r="C6279" s="4">
        <v>24</v>
      </c>
      <c r="D6279" s="29">
        <f t="shared" si="540"/>
        <v>431</v>
      </c>
      <c r="F6279" s="129">
        <f t="shared" si="538"/>
        <v>7</v>
      </c>
    </row>
    <row r="6280" spans="1:6" x14ac:dyDescent="0.25">
      <c r="A6280" s="140" t="s">
        <v>26</v>
      </c>
      <c r="B6280" s="46">
        <v>44154</v>
      </c>
      <c r="C6280" s="4">
        <v>280</v>
      </c>
      <c r="D6280" s="29">
        <f t="shared" si="540"/>
        <v>28938</v>
      </c>
      <c r="E6280" s="4">
        <f>6+1</f>
        <v>7</v>
      </c>
      <c r="F6280" s="129">
        <f t="shared" si="538"/>
        <v>573</v>
      </c>
    </row>
    <row r="6281" spans="1:6" x14ac:dyDescent="0.25">
      <c r="A6281" s="140" t="s">
        <v>25</v>
      </c>
      <c r="B6281" s="46">
        <v>44154</v>
      </c>
      <c r="C6281" s="4">
        <v>309</v>
      </c>
      <c r="D6281" s="29">
        <f t="shared" si="540"/>
        <v>29545</v>
      </c>
      <c r="E6281" s="4">
        <f>7+3</f>
        <v>10</v>
      </c>
      <c r="F6281" s="129">
        <f t="shared" si="538"/>
        <v>749</v>
      </c>
    </row>
    <row r="6282" spans="1:6" x14ac:dyDescent="0.25">
      <c r="A6282" s="140" t="s">
        <v>41</v>
      </c>
      <c r="B6282" s="46">
        <v>44154</v>
      </c>
      <c r="C6282" s="4">
        <v>73</v>
      </c>
      <c r="D6282" s="29">
        <f t="shared" si="540"/>
        <v>20512</v>
      </c>
      <c r="E6282" s="4">
        <f>5+1</f>
        <v>6</v>
      </c>
      <c r="F6282" s="129">
        <f t="shared" si="538"/>
        <v>958</v>
      </c>
    </row>
    <row r="6283" spans="1:6" x14ac:dyDescent="0.25">
      <c r="A6283" s="140" t="s">
        <v>42</v>
      </c>
      <c r="B6283" s="46">
        <v>44154</v>
      </c>
      <c r="C6283" s="4">
        <v>220</v>
      </c>
      <c r="D6283" s="29">
        <f t="shared" si="540"/>
        <v>5082</v>
      </c>
      <c r="F6283" s="129">
        <f t="shared" si="538"/>
        <v>143</v>
      </c>
    </row>
    <row r="6284" spans="1:6" x14ac:dyDescent="0.25">
      <c r="A6284" s="140" t="s">
        <v>43</v>
      </c>
      <c r="B6284" s="46">
        <v>44154</v>
      </c>
      <c r="C6284" s="4">
        <v>349</v>
      </c>
      <c r="D6284" s="29">
        <f t="shared" si="540"/>
        <v>12409</v>
      </c>
      <c r="E6284" s="4">
        <f>3+3</f>
        <v>6</v>
      </c>
      <c r="F6284" s="129">
        <f t="shared" si="538"/>
        <v>169</v>
      </c>
    </row>
    <row r="6285" spans="1:6" x14ac:dyDescent="0.25">
      <c r="A6285" s="140" t="s">
        <v>44</v>
      </c>
      <c r="B6285" s="46">
        <v>44154</v>
      </c>
      <c r="C6285" s="4">
        <v>286</v>
      </c>
      <c r="D6285" s="29">
        <f t="shared" si="540"/>
        <v>13599</v>
      </c>
      <c r="E6285" s="4">
        <f>4+1</f>
        <v>5</v>
      </c>
      <c r="F6285" s="129">
        <f t="shared" si="538"/>
        <v>222</v>
      </c>
    </row>
    <row r="6286" spans="1:6" x14ac:dyDescent="0.25">
      <c r="A6286" s="140" t="s">
        <v>29</v>
      </c>
      <c r="B6286" s="46">
        <v>44154</v>
      </c>
      <c r="C6286" s="4">
        <v>1666</v>
      </c>
      <c r="D6286" s="29">
        <f t="shared" si="540"/>
        <v>134252</v>
      </c>
      <c r="E6286" s="4">
        <f>21+13</f>
        <v>34</v>
      </c>
      <c r="F6286" s="129">
        <f t="shared" si="538"/>
        <v>2004</v>
      </c>
    </row>
    <row r="6287" spans="1:6" x14ac:dyDescent="0.25">
      <c r="A6287" s="140" t="s">
        <v>45</v>
      </c>
      <c r="B6287" s="46">
        <v>44154</v>
      </c>
      <c r="C6287" s="4">
        <v>258</v>
      </c>
      <c r="D6287" s="29">
        <f t="shared" si="540"/>
        <v>13911</v>
      </c>
      <c r="E6287" s="4">
        <f>5+5</f>
        <v>10</v>
      </c>
      <c r="F6287" s="129">
        <f t="shared" si="538"/>
        <v>173</v>
      </c>
    </row>
    <row r="6288" spans="1:6" x14ac:dyDescent="0.25">
      <c r="A6288" s="140" t="s">
        <v>46</v>
      </c>
      <c r="B6288" s="46">
        <v>44154</v>
      </c>
      <c r="C6288" s="4">
        <v>169</v>
      </c>
      <c r="D6288" s="29">
        <f t="shared" si="540"/>
        <v>14838</v>
      </c>
      <c r="E6288" s="4">
        <f>2+2</f>
        <v>4</v>
      </c>
      <c r="F6288" s="129">
        <f t="shared" si="538"/>
        <v>215</v>
      </c>
    </row>
    <row r="6289" spans="1:6" ht="15.75" thickBot="1" x14ac:dyDescent="0.3">
      <c r="A6289" s="141" t="s">
        <v>47</v>
      </c>
      <c r="B6289" s="53">
        <v>44154</v>
      </c>
      <c r="C6289" s="54">
        <v>574</v>
      </c>
      <c r="D6289" s="132">
        <f>C6289+D6265</f>
        <v>62407</v>
      </c>
      <c r="E6289" s="54">
        <f>7+4</f>
        <v>11</v>
      </c>
      <c r="F6289" s="130">
        <f t="shared" si="538"/>
        <v>1032</v>
      </c>
    </row>
    <row r="6290" spans="1:6" x14ac:dyDescent="0.25">
      <c r="A6290" s="64" t="s">
        <v>22</v>
      </c>
      <c r="B6290" s="136">
        <v>44155</v>
      </c>
      <c r="C6290" s="48">
        <v>2305</v>
      </c>
      <c r="D6290" s="131">
        <f t="shared" si="540"/>
        <v>602122</v>
      </c>
      <c r="E6290" s="48">
        <v>134</v>
      </c>
      <c r="F6290" s="128">
        <f t="shared" si="538"/>
        <v>19917</v>
      </c>
    </row>
    <row r="6291" spans="1:6" x14ac:dyDescent="0.25">
      <c r="A6291" s="140" t="s">
        <v>20</v>
      </c>
      <c r="B6291" s="136">
        <v>44155</v>
      </c>
      <c r="C6291" s="4">
        <v>410</v>
      </c>
      <c r="D6291" s="29">
        <f t="shared" si="540"/>
        <v>155869</v>
      </c>
      <c r="E6291" s="4">
        <v>22</v>
      </c>
      <c r="F6291" s="129">
        <f t="shared" si="538"/>
        <v>5131</v>
      </c>
    </row>
    <row r="6292" spans="1:6" x14ac:dyDescent="0.25">
      <c r="A6292" s="140" t="s">
        <v>35</v>
      </c>
      <c r="B6292" s="136">
        <v>44155</v>
      </c>
      <c r="C6292" s="4">
        <v>12</v>
      </c>
      <c r="D6292" s="29">
        <f t="shared" si="540"/>
        <v>1646</v>
      </c>
      <c r="F6292" s="129">
        <f t="shared" si="538"/>
        <v>8</v>
      </c>
    </row>
    <row r="6293" spans="1:6" x14ac:dyDescent="0.25">
      <c r="A6293" s="140" t="s">
        <v>21</v>
      </c>
      <c r="B6293" s="136">
        <v>44155</v>
      </c>
      <c r="C6293" s="4">
        <v>256</v>
      </c>
      <c r="D6293" s="29">
        <f t="shared" si="540"/>
        <v>17503</v>
      </c>
      <c r="E6293" s="4">
        <v>5</v>
      </c>
      <c r="F6293" s="129">
        <f t="shared" si="538"/>
        <v>525</v>
      </c>
    </row>
    <row r="6294" spans="1:6" x14ac:dyDescent="0.25">
      <c r="A6294" s="140" t="s">
        <v>36</v>
      </c>
      <c r="B6294" s="136">
        <v>44155</v>
      </c>
      <c r="C6294" s="4">
        <v>343</v>
      </c>
      <c r="D6294" s="29">
        <f t="shared" si="540"/>
        <v>20780</v>
      </c>
      <c r="E6294" s="4">
        <v>5</v>
      </c>
      <c r="F6294" s="129">
        <f t="shared" si="538"/>
        <v>356</v>
      </c>
    </row>
    <row r="6295" spans="1:6" x14ac:dyDescent="0.25">
      <c r="A6295" s="140" t="s">
        <v>27</v>
      </c>
      <c r="B6295" s="136">
        <v>44155</v>
      </c>
      <c r="C6295" s="4">
        <v>982</v>
      </c>
      <c r="D6295" s="29">
        <f t="shared" si="540"/>
        <v>107886</v>
      </c>
      <c r="E6295" s="4">
        <v>15</v>
      </c>
      <c r="F6295" s="129">
        <f t="shared" si="538"/>
        <v>1761</v>
      </c>
    </row>
    <row r="6296" spans="1:6" x14ac:dyDescent="0.25">
      <c r="A6296" s="140" t="s">
        <v>37</v>
      </c>
      <c r="B6296" s="136">
        <v>44155</v>
      </c>
      <c r="C6296" s="4">
        <v>164</v>
      </c>
      <c r="D6296" s="29">
        <f t="shared" si="540"/>
        <v>4673</v>
      </c>
      <c r="F6296" s="129">
        <f t="shared" si="538"/>
        <v>86</v>
      </c>
    </row>
    <row r="6297" spans="1:6" x14ac:dyDescent="0.25">
      <c r="A6297" s="140" t="s">
        <v>38</v>
      </c>
      <c r="B6297" s="136">
        <v>44155</v>
      </c>
      <c r="C6297" s="4">
        <v>253</v>
      </c>
      <c r="D6297" s="29">
        <f t="shared" si="540"/>
        <v>21502</v>
      </c>
      <c r="E6297" s="4">
        <v>9</v>
      </c>
      <c r="F6297" s="129">
        <f t="shared" si="538"/>
        <v>411</v>
      </c>
    </row>
    <row r="6298" spans="1:6" x14ac:dyDescent="0.25">
      <c r="A6298" s="140" t="s">
        <v>48</v>
      </c>
      <c r="B6298" s="136">
        <v>44155</v>
      </c>
      <c r="C6298" s="4">
        <v>3</v>
      </c>
      <c r="D6298" s="29">
        <f t="shared" si="540"/>
        <v>177</v>
      </c>
      <c r="F6298" s="129">
        <f t="shared" si="538"/>
        <v>3</v>
      </c>
    </row>
    <row r="6299" spans="1:6" x14ac:dyDescent="0.25">
      <c r="A6299" s="140" t="s">
        <v>39</v>
      </c>
      <c r="B6299" s="136">
        <v>44155</v>
      </c>
      <c r="C6299" s="4">
        <v>21</v>
      </c>
      <c r="D6299" s="29">
        <f t="shared" si="540"/>
        <v>18273</v>
      </c>
      <c r="E6299" s="4">
        <v>1</v>
      </c>
      <c r="F6299" s="129">
        <f t="shared" si="538"/>
        <v>841</v>
      </c>
    </row>
    <row r="6300" spans="1:6" x14ac:dyDescent="0.25">
      <c r="A6300" s="140" t="s">
        <v>40</v>
      </c>
      <c r="B6300" s="136">
        <v>44155</v>
      </c>
      <c r="C6300" s="4">
        <v>88</v>
      </c>
      <c r="D6300" s="29">
        <f t="shared" si="540"/>
        <v>5060</v>
      </c>
      <c r="E6300" s="4">
        <v>4</v>
      </c>
      <c r="F6300" s="129">
        <f t="shared" si="538"/>
        <v>68</v>
      </c>
    </row>
    <row r="6301" spans="1:6" x14ac:dyDescent="0.25">
      <c r="A6301" s="140" t="s">
        <v>28</v>
      </c>
      <c r="B6301" s="136">
        <v>44155</v>
      </c>
      <c r="C6301" s="4">
        <v>58</v>
      </c>
      <c r="D6301" s="29">
        <f t="shared" si="540"/>
        <v>8420</v>
      </c>
      <c r="F6301" s="129">
        <f t="shared" si="538"/>
        <v>304</v>
      </c>
    </row>
    <row r="6302" spans="1:6" x14ac:dyDescent="0.25">
      <c r="A6302" s="140" t="s">
        <v>24</v>
      </c>
      <c r="B6302" s="136">
        <v>44155</v>
      </c>
      <c r="C6302" s="4">
        <v>317</v>
      </c>
      <c r="D6302" s="29">
        <f t="shared" si="540"/>
        <v>54811</v>
      </c>
      <c r="E6302" s="4">
        <v>6</v>
      </c>
      <c r="F6302" s="129">
        <f t="shared" si="538"/>
        <v>1064</v>
      </c>
    </row>
    <row r="6303" spans="1:6" x14ac:dyDescent="0.25">
      <c r="A6303" s="140" t="s">
        <v>30</v>
      </c>
      <c r="B6303" s="136">
        <v>44155</v>
      </c>
      <c r="C6303" s="4">
        <v>3</v>
      </c>
      <c r="D6303" s="29">
        <f t="shared" si="540"/>
        <v>434</v>
      </c>
      <c r="F6303" s="129">
        <f t="shared" si="538"/>
        <v>7</v>
      </c>
    </row>
    <row r="6304" spans="1:6" x14ac:dyDescent="0.25">
      <c r="A6304" s="140" t="s">
        <v>26</v>
      </c>
      <c r="B6304" s="136">
        <v>44155</v>
      </c>
      <c r="C6304" s="4">
        <v>321</v>
      </c>
      <c r="D6304" s="29">
        <f t="shared" si="540"/>
        <v>29259</v>
      </c>
      <c r="E6304" s="4">
        <v>1</v>
      </c>
      <c r="F6304" s="129">
        <f t="shared" si="538"/>
        <v>574</v>
      </c>
    </row>
    <row r="6305" spans="1:6" x14ac:dyDescent="0.25">
      <c r="A6305" s="140" t="s">
        <v>25</v>
      </c>
      <c r="B6305" s="136">
        <v>44155</v>
      </c>
      <c r="C6305" s="4">
        <v>201</v>
      </c>
      <c r="D6305" s="29">
        <f t="shared" si="540"/>
        <v>29746</v>
      </c>
      <c r="E6305" s="4">
        <v>1</v>
      </c>
      <c r="F6305" s="129">
        <f t="shared" si="538"/>
        <v>750</v>
      </c>
    </row>
    <row r="6306" spans="1:6" x14ac:dyDescent="0.25">
      <c r="A6306" s="140" t="s">
        <v>41</v>
      </c>
      <c r="B6306" s="136">
        <v>44155</v>
      </c>
      <c r="C6306" s="4">
        <v>166</v>
      </c>
      <c r="D6306" s="29">
        <f t="shared" si="540"/>
        <v>20678</v>
      </c>
      <c r="E6306" s="4">
        <v>3</v>
      </c>
      <c r="F6306" s="129">
        <f t="shared" si="538"/>
        <v>961</v>
      </c>
    </row>
    <row r="6307" spans="1:6" x14ac:dyDescent="0.25">
      <c r="A6307" s="140" t="s">
        <v>42</v>
      </c>
      <c r="B6307" s="136">
        <v>44155</v>
      </c>
      <c r="C6307" s="4">
        <v>471</v>
      </c>
      <c r="D6307" s="29">
        <f t="shared" si="540"/>
        <v>5553</v>
      </c>
      <c r="F6307" s="129">
        <f t="shared" si="538"/>
        <v>143</v>
      </c>
    </row>
    <row r="6308" spans="1:6" x14ac:dyDescent="0.25">
      <c r="A6308" s="140" t="s">
        <v>43</v>
      </c>
      <c r="B6308" s="136">
        <v>44155</v>
      </c>
      <c r="C6308" s="4">
        <v>378</v>
      </c>
      <c r="D6308" s="29">
        <f t="shared" si="540"/>
        <v>12787</v>
      </c>
      <c r="E6308" s="4">
        <v>8</v>
      </c>
      <c r="F6308" s="129">
        <f t="shared" si="538"/>
        <v>177</v>
      </c>
    </row>
    <row r="6309" spans="1:6" x14ac:dyDescent="0.25">
      <c r="A6309" s="140" t="s">
        <v>44</v>
      </c>
      <c r="B6309" s="136">
        <v>44155</v>
      </c>
      <c r="C6309" s="4">
        <v>248</v>
      </c>
      <c r="D6309" s="29">
        <f t="shared" si="540"/>
        <v>13847</v>
      </c>
      <c r="E6309" s="4">
        <v>3</v>
      </c>
      <c r="F6309" s="129">
        <f t="shared" si="538"/>
        <v>225</v>
      </c>
    </row>
    <row r="6310" spans="1:6" x14ac:dyDescent="0.25">
      <c r="A6310" s="140" t="s">
        <v>29</v>
      </c>
      <c r="B6310" s="136">
        <v>44155</v>
      </c>
      <c r="C6310" s="4">
        <v>1757</v>
      </c>
      <c r="D6310" s="29">
        <f t="shared" si="540"/>
        <v>136009</v>
      </c>
      <c r="E6310" s="4">
        <v>18</v>
      </c>
      <c r="F6310" s="129">
        <f t="shared" si="538"/>
        <v>2022</v>
      </c>
    </row>
    <row r="6311" spans="1:6" x14ac:dyDescent="0.25">
      <c r="A6311" s="140" t="s">
        <v>45</v>
      </c>
      <c r="B6311" s="136">
        <v>44155</v>
      </c>
      <c r="C6311" s="4">
        <v>252</v>
      </c>
      <c r="D6311" s="29">
        <f t="shared" si="540"/>
        <v>14163</v>
      </c>
      <c r="F6311" s="129">
        <f t="shared" si="538"/>
        <v>173</v>
      </c>
    </row>
    <row r="6312" spans="1:6" x14ac:dyDescent="0.25">
      <c r="A6312" s="140" t="s">
        <v>46</v>
      </c>
      <c r="B6312" s="136">
        <v>44155</v>
      </c>
      <c r="C6312" s="4">
        <v>127</v>
      </c>
      <c r="D6312" s="29">
        <f t="shared" si="540"/>
        <v>14965</v>
      </c>
      <c r="E6312" s="4">
        <v>2</v>
      </c>
      <c r="F6312" s="129">
        <f t="shared" si="538"/>
        <v>217</v>
      </c>
    </row>
    <row r="6313" spans="1:6" ht="15.75" thickBot="1" x14ac:dyDescent="0.3">
      <c r="A6313" s="141" t="s">
        <v>47</v>
      </c>
      <c r="B6313" s="136">
        <v>44155</v>
      </c>
      <c r="C6313" s="4">
        <v>472</v>
      </c>
      <c r="D6313" s="132">
        <f>C6313+D6289</f>
        <v>62879</v>
      </c>
      <c r="E6313" s="4">
        <v>24</v>
      </c>
      <c r="F6313" s="130">
        <f t="shared" si="538"/>
        <v>1056</v>
      </c>
    </row>
    <row r="6314" spans="1:6" x14ac:dyDescent="0.25">
      <c r="A6314" s="64" t="s">
        <v>22</v>
      </c>
      <c r="B6314" s="136">
        <v>44156</v>
      </c>
      <c r="C6314" s="4">
        <v>1894</v>
      </c>
      <c r="D6314" s="131">
        <f t="shared" si="540"/>
        <v>604016</v>
      </c>
      <c r="E6314" s="4">
        <f>24+17</f>
        <v>41</v>
      </c>
      <c r="F6314" s="128">
        <f t="shared" si="538"/>
        <v>19958</v>
      </c>
    </row>
    <row r="6315" spans="1:6" x14ac:dyDescent="0.25">
      <c r="A6315" s="140" t="s">
        <v>20</v>
      </c>
      <c r="B6315" s="136">
        <v>44156</v>
      </c>
      <c r="C6315" s="4">
        <v>350</v>
      </c>
      <c r="D6315" s="29">
        <f t="shared" si="540"/>
        <v>156219</v>
      </c>
      <c r="E6315" s="4">
        <f>3+1</f>
        <v>4</v>
      </c>
      <c r="F6315" s="129">
        <f t="shared" ref="F6315:F6378" si="541">E6315+F6291</f>
        <v>5135</v>
      </c>
    </row>
    <row r="6316" spans="1:6" x14ac:dyDescent="0.25">
      <c r="A6316" s="140" t="s">
        <v>35</v>
      </c>
      <c r="B6316" s="136">
        <v>44156</v>
      </c>
      <c r="C6316" s="4">
        <v>25</v>
      </c>
      <c r="D6316" s="29">
        <f t="shared" si="540"/>
        <v>1671</v>
      </c>
      <c r="E6316" s="4">
        <f>5</f>
        <v>5</v>
      </c>
      <c r="F6316" s="129">
        <f t="shared" si="541"/>
        <v>13</v>
      </c>
    </row>
    <row r="6317" spans="1:6" x14ac:dyDescent="0.25">
      <c r="A6317" s="140" t="s">
        <v>21</v>
      </c>
      <c r="B6317" s="136">
        <v>44156</v>
      </c>
      <c r="C6317" s="4">
        <v>156</v>
      </c>
      <c r="D6317" s="29">
        <f t="shared" si="540"/>
        <v>17659</v>
      </c>
      <c r="F6317" s="129">
        <f t="shared" si="541"/>
        <v>525</v>
      </c>
    </row>
    <row r="6318" spans="1:6" x14ac:dyDescent="0.25">
      <c r="A6318" s="140" t="s">
        <v>36</v>
      </c>
      <c r="B6318" s="136">
        <v>44156</v>
      </c>
      <c r="C6318" s="4">
        <v>241</v>
      </c>
      <c r="D6318" s="29">
        <f t="shared" si="540"/>
        <v>21021</v>
      </c>
      <c r="E6318" s="4">
        <f>1</f>
        <v>1</v>
      </c>
      <c r="F6318" s="129">
        <f t="shared" si="541"/>
        <v>357</v>
      </c>
    </row>
    <row r="6319" spans="1:6" x14ac:dyDescent="0.25">
      <c r="A6319" s="140" t="s">
        <v>27</v>
      </c>
      <c r="B6319" s="136">
        <v>44156</v>
      </c>
      <c r="C6319" s="4">
        <v>888</v>
      </c>
      <c r="D6319" s="29">
        <f t="shared" si="540"/>
        <v>108774</v>
      </c>
      <c r="E6319" s="4">
        <f>6+4</f>
        <v>10</v>
      </c>
      <c r="F6319" s="129">
        <f t="shared" si="541"/>
        <v>1771</v>
      </c>
    </row>
    <row r="6320" spans="1:6" x14ac:dyDescent="0.25">
      <c r="A6320" s="140" t="s">
        <v>37</v>
      </c>
      <c r="B6320" s="136">
        <v>44156</v>
      </c>
      <c r="C6320" s="4">
        <v>96</v>
      </c>
      <c r="D6320" s="29">
        <f t="shared" si="540"/>
        <v>4769</v>
      </c>
      <c r="F6320" s="129">
        <f t="shared" si="541"/>
        <v>86</v>
      </c>
    </row>
    <row r="6321" spans="1:6" x14ac:dyDescent="0.25">
      <c r="A6321" s="140" t="s">
        <v>38</v>
      </c>
      <c r="B6321" s="136">
        <v>44156</v>
      </c>
      <c r="C6321" s="4">
        <v>216</v>
      </c>
      <c r="D6321" s="29">
        <f t="shared" si="540"/>
        <v>21718</v>
      </c>
      <c r="E6321" s="4">
        <f>4+1</f>
        <v>5</v>
      </c>
      <c r="F6321" s="129">
        <f t="shared" si="541"/>
        <v>416</v>
      </c>
    </row>
    <row r="6322" spans="1:6" x14ac:dyDescent="0.25">
      <c r="A6322" s="140" t="s">
        <v>48</v>
      </c>
      <c r="B6322" s="136">
        <v>44156</v>
      </c>
      <c r="C6322" s="4">
        <v>2</v>
      </c>
      <c r="D6322" s="29">
        <f t="shared" si="540"/>
        <v>179</v>
      </c>
      <c r="F6322" s="129">
        <f t="shared" si="541"/>
        <v>3</v>
      </c>
    </row>
    <row r="6323" spans="1:6" x14ac:dyDescent="0.25">
      <c r="A6323" s="140" t="s">
        <v>39</v>
      </c>
      <c r="B6323" s="136">
        <v>44156</v>
      </c>
      <c r="C6323" s="4">
        <v>12</v>
      </c>
      <c r="D6323" s="29">
        <f t="shared" si="540"/>
        <v>18285</v>
      </c>
      <c r="E6323" s="4">
        <f>1</f>
        <v>1</v>
      </c>
      <c r="F6323" s="129">
        <f t="shared" si="541"/>
        <v>842</v>
      </c>
    </row>
    <row r="6324" spans="1:6" x14ac:dyDescent="0.25">
      <c r="A6324" s="140" t="s">
        <v>40</v>
      </c>
      <c r="B6324" s="136">
        <v>44156</v>
      </c>
      <c r="C6324" s="4">
        <v>57</v>
      </c>
      <c r="D6324" s="29">
        <f t="shared" si="540"/>
        <v>5117</v>
      </c>
      <c r="E6324" s="4">
        <v>2</v>
      </c>
      <c r="F6324" s="129">
        <f t="shared" si="541"/>
        <v>70</v>
      </c>
    </row>
    <row r="6325" spans="1:6" x14ac:dyDescent="0.25">
      <c r="A6325" s="140" t="s">
        <v>28</v>
      </c>
      <c r="B6325" s="136">
        <v>44156</v>
      </c>
      <c r="C6325" s="4">
        <v>63</v>
      </c>
      <c r="D6325" s="29">
        <f t="shared" si="540"/>
        <v>8483</v>
      </c>
      <c r="E6325" s="4">
        <v>5</v>
      </c>
      <c r="F6325" s="129">
        <f t="shared" si="541"/>
        <v>309</v>
      </c>
    </row>
    <row r="6326" spans="1:6" x14ac:dyDescent="0.25">
      <c r="A6326" s="140" t="s">
        <v>24</v>
      </c>
      <c r="B6326" s="136">
        <v>44156</v>
      </c>
      <c r="C6326" s="4">
        <v>226</v>
      </c>
      <c r="D6326" s="29">
        <f t="shared" si="540"/>
        <v>55037</v>
      </c>
      <c r="E6326" s="4">
        <v>2</v>
      </c>
      <c r="F6326" s="129">
        <f t="shared" si="541"/>
        <v>1066</v>
      </c>
    </row>
    <row r="6327" spans="1:6" x14ac:dyDescent="0.25">
      <c r="A6327" s="140" t="s">
        <v>30</v>
      </c>
      <c r="B6327" s="136">
        <v>44156</v>
      </c>
      <c r="C6327" s="4">
        <v>1</v>
      </c>
      <c r="D6327" s="29">
        <f t="shared" si="540"/>
        <v>435</v>
      </c>
      <c r="E6327" s="4">
        <f>1</f>
        <v>1</v>
      </c>
      <c r="F6327" s="129">
        <f t="shared" si="541"/>
        <v>8</v>
      </c>
    </row>
    <row r="6328" spans="1:6" x14ac:dyDescent="0.25">
      <c r="A6328" s="140" t="s">
        <v>26</v>
      </c>
      <c r="B6328" s="136">
        <v>44156</v>
      </c>
      <c r="C6328" s="4">
        <v>235</v>
      </c>
      <c r="D6328" s="29">
        <f t="shared" si="540"/>
        <v>29494</v>
      </c>
      <c r="F6328" s="129">
        <f t="shared" si="541"/>
        <v>574</v>
      </c>
    </row>
    <row r="6329" spans="1:6" x14ac:dyDescent="0.25">
      <c r="A6329" s="140" t="s">
        <v>25</v>
      </c>
      <c r="B6329" s="136">
        <v>44156</v>
      </c>
      <c r="C6329" s="4">
        <v>169</v>
      </c>
      <c r="D6329" s="29">
        <f t="shared" si="540"/>
        <v>29915</v>
      </c>
      <c r="E6329" s="4">
        <v>1</v>
      </c>
      <c r="F6329" s="129">
        <f t="shared" si="541"/>
        <v>751</v>
      </c>
    </row>
    <row r="6330" spans="1:6" x14ac:dyDescent="0.25">
      <c r="A6330" s="140" t="s">
        <v>41</v>
      </c>
      <c r="B6330" s="136">
        <v>44156</v>
      </c>
      <c r="C6330" s="4">
        <v>48</v>
      </c>
      <c r="D6330" s="29">
        <f t="shared" ref="D6330:D6336" si="542">C6330+D6306</f>
        <v>20726</v>
      </c>
      <c r="E6330" s="4">
        <f>1</f>
        <v>1</v>
      </c>
      <c r="F6330" s="129">
        <f t="shared" si="541"/>
        <v>962</v>
      </c>
    </row>
    <row r="6331" spans="1:6" x14ac:dyDescent="0.25">
      <c r="A6331" s="140" t="s">
        <v>42</v>
      </c>
      <c r="B6331" s="136">
        <v>44156</v>
      </c>
      <c r="C6331" s="4">
        <v>115</v>
      </c>
      <c r="D6331" s="29">
        <f t="shared" si="542"/>
        <v>5668</v>
      </c>
      <c r="F6331" s="129">
        <f t="shared" si="541"/>
        <v>143</v>
      </c>
    </row>
    <row r="6332" spans="1:6" x14ac:dyDescent="0.25">
      <c r="A6332" s="140" t="s">
        <v>43</v>
      </c>
      <c r="B6332" s="136">
        <v>44156</v>
      </c>
      <c r="C6332" s="4">
        <v>250</v>
      </c>
      <c r="D6332" s="29">
        <f t="shared" si="542"/>
        <v>13037</v>
      </c>
      <c r="E6332" s="4">
        <f>1</f>
        <v>1</v>
      </c>
      <c r="F6332" s="129">
        <f t="shared" si="541"/>
        <v>178</v>
      </c>
    </row>
    <row r="6333" spans="1:6" x14ac:dyDescent="0.25">
      <c r="A6333" s="140" t="s">
        <v>44</v>
      </c>
      <c r="B6333" s="136">
        <v>44156</v>
      </c>
      <c r="C6333" s="4">
        <v>163</v>
      </c>
      <c r="D6333" s="29">
        <f t="shared" si="542"/>
        <v>14010</v>
      </c>
      <c r="E6333" s="4">
        <v>7</v>
      </c>
      <c r="F6333" s="129">
        <f t="shared" si="541"/>
        <v>232</v>
      </c>
    </row>
    <row r="6334" spans="1:6" x14ac:dyDescent="0.25">
      <c r="A6334" s="140" t="s">
        <v>29</v>
      </c>
      <c r="B6334" s="136">
        <v>44156</v>
      </c>
      <c r="C6334" s="4">
        <v>1254</v>
      </c>
      <c r="D6334" s="29">
        <f t="shared" si="542"/>
        <v>137263</v>
      </c>
      <c r="E6334" s="4">
        <f>12+9</f>
        <v>21</v>
      </c>
      <c r="F6334" s="129">
        <f t="shared" si="541"/>
        <v>2043</v>
      </c>
    </row>
    <row r="6335" spans="1:6" x14ac:dyDescent="0.25">
      <c r="A6335" s="140" t="s">
        <v>45</v>
      </c>
      <c r="B6335" s="136">
        <v>44156</v>
      </c>
      <c r="C6335" s="4">
        <v>201</v>
      </c>
      <c r="D6335" s="29">
        <f t="shared" si="542"/>
        <v>14364</v>
      </c>
      <c r="F6335" s="129">
        <f t="shared" si="541"/>
        <v>173</v>
      </c>
    </row>
    <row r="6336" spans="1:6" x14ac:dyDescent="0.25">
      <c r="A6336" s="140" t="s">
        <v>46</v>
      </c>
      <c r="B6336" s="136">
        <v>44156</v>
      </c>
      <c r="C6336" s="4">
        <v>221</v>
      </c>
      <c r="D6336" s="29">
        <f t="shared" si="542"/>
        <v>15186</v>
      </c>
      <c r="E6336" s="4">
        <f>2</f>
        <v>2</v>
      </c>
      <c r="F6336" s="129">
        <f t="shared" si="541"/>
        <v>219</v>
      </c>
    </row>
    <row r="6337" spans="1:6" ht="15.75" thickBot="1" x14ac:dyDescent="0.3">
      <c r="A6337" s="141" t="s">
        <v>47</v>
      </c>
      <c r="B6337" s="136">
        <v>44156</v>
      </c>
      <c r="C6337" s="4">
        <v>257</v>
      </c>
      <c r="D6337" s="132">
        <f>C6337+D6313</f>
        <v>63136</v>
      </c>
      <c r="E6337" s="4">
        <v>2</v>
      </c>
      <c r="F6337" s="130">
        <f t="shared" si="541"/>
        <v>1058</v>
      </c>
    </row>
    <row r="6338" spans="1:6" x14ac:dyDescent="0.25">
      <c r="A6338" s="64" t="s">
        <v>22</v>
      </c>
      <c r="B6338" s="136">
        <v>44157</v>
      </c>
      <c r="C6338" s="4">
        <v>998</v>
      </c>
      <c r="D6338" s="131">
        <f t="shared" ref="D6338:D6401" si="543">C6338+D6314</f>
        <v>605014</v>
      </c>
      <c r="E6338" s="4">
        <f>17+16</f>
        <v>33</v>
      </c>
      <c r="F6338" s="128">
        <f t="shared" si="541"/>
        <v>19991</v>
      </c>
    </row>
    <row r="6339" spans="1:6" x14ac:dyDescent="0.25">
      <c r="A6339" s="140" t="s">
        <v>20</v>
      </c>
      <c r="B6339" s="136">
        <v>44157</v>
      </c>
      <c r="C6339" s="4">
        <v>195</v>
      </c>
      <c r="D6339" s="29">
        <f t="shared" si="543"/>
        <v>156414</v>
      </c>
      <c r="E6339" s="4">
        <f>3+1</f>
        <v>4</v>
      </c>
      <c r="F6339" s="129">
        <f t="shared" si="541"/>
        <v>5139</v>
      </c>
    </row>
    <row r="6340" spans="1:6" x14ac:dyDescent="0.25">
      <c r="A6340" s="140" t="s">
        <v>35</v>
      </c>
      <c r="B6340" s="136">
        <v>44157</v>
      </c>
      <c r="C6340" s="4">
        <v>37</v>
      </c>
      <c r="D6340" s="29">
        <f t="shared" si="543"/>
        <v>1708</v>
      </c>
      <c r="F6340" s="129">
        <f t="shared" si="541"/>
        <v>13</v>
      </c>
    </row>
    <row r="6341" spans="1:6" x14ac:dyDescent="0.25">
      <c r="A6341" s="140" t="s">
        <v>21</v>
      </c>
      <c r="B6341" s="136">
        <v>44157</v>
      </c>
      <c r="C6341" s="4">
        <v>119</v>
      </c>
      <c r="D6341" s="29">
        <f t="shared" si="543"/>
        <v>17778</v>
      </c>
      <c r="E6341" s="4">
        <f>1+1</f>
        <v>2</v>
      </c>
      <c r="F6341" s="129">
        <f t="shared" si="541"/>
        <v>527</v>
      </c>
    </row>
    <row r="6342" spans="1:6" x14ac:dyDescent="0.25">
      <c r="A6342" s="140" t="s">
        <v>36</v>
      </c>
      <c r="B6342" s="136">
        <v>44157</v>
      </c>
      <c r="C6342" s="4">
        <v>146</v>
      </c>
      <c r="D6342" s="29">
        <f t="shared" si="543"/>
        <v>21167</v>
      </c>
      <c r="F6342" s="129">
        <f t="shared" si="541"/>
        <v>357</v>
      </c>
    </row>
    <row r="6343" spans="1:6" x14ac:dyDescent="0.25">
      <c r="A6343" s="140" t="s">
        <v>27</v>
      </c>
      <c r="B6343" s="136">
        <v>44157</v>
      </c>
      <c r="C6343" s="4">
        <v>452</v>
      </c>
      <c r="D6343" s="29">
        <f t="shared" si="543"/>
        <v>109226</v>
      </c>
      <c r="E6343" s="4">
        <f>3+2</f>
        <v>5</v>
      </c>
      <c r="F6343" s="129">
        <f t="shared" si="541"/>
        <v>1776</v>
      </c>
    </row>
    <row r="6344" spans="1:6" x14ac:dyDescent="0.25">
      <c r="A6344" s="140" t="s">
        <v>37</v>
      </c>
      <c r="B6344" s="136">
        <v>44157</v>
      </c>
      <c r="C6344" s="4">
        <v>27</v>
      </c>
      <c r="D6344" s="29">
        <f t="shared" si="543"/>
        <v>4796</v>
      </c>
      <c r="F6344" s="129">
        <f t="shared" si="541"/>
        <v>86</v>
      </c>
    </row>
    <row r="6345" spans="1:6" x14ac:dyDescent="0.25">
      <c r="A6345" s="140" t="s">
        <v>38</v>
      </c>
      <c r="B6345" s="136">
        <v>44157</v>
      </c>
      <c r="C6345" s="4">
        <v>159</v>
      </c>
      <c r="D6345" s="29">
        <f t="shared" si="543"/>
        <v>21877</v>
      </c>
      <c r="E6345" s="4">
        <f>2</f>
        <v>2</v>
      </c>
      <c r="F6345" s="129">
        <f t="shared" si="541"/>
        <v>418</v>
      </c>
    </row>
    <row r="6346" spans="1:6" x14ac:dyDescent="0.25">
      <c r="A6346" s="140" t="s">
        <v>48</v>
      </c>
      <c r="B6346" s="136">
        <v>44157</v>
      </c>
      <c r="C6346" s="4">
        <v>1</v>
      </c>
      <c r="D6346" s="29">
        <f t="shared" si="543"/>
        <v>180</v>
      </c>
      <c r="F6346" s="129">
        <f t="shared" si="541"/>
        <v>3</v>
      </c>
    </row>
    <row r="6347" spans="1:6" x14ac:dyDescent="0.25">
      <c r="A6347" s="140" t="s">
        <v>39</v>
      </c>
      <c r="B6347" s="136">
        <v>44157</v>
      </c>
      <c r="C6347" s="4">
        <v>9</v>
      </c>
      <c r="D6347" s="29">
        <f t="shared" si="543"/>
        <v>18294</v>
      </c>
      <c r="F6347" s="129">
        <f t="shared" si="541"/>
        <v>842</v>
      </c>
    </row>
    <row r="6348" spans="1:6" x14ac:dyDescent="0.25">
      <c r="A6348" s="140" t="s">
        <v>40</v>
      </c>
      <c r="B6348" s="136">
        <v>44157</v>
      </c>
      <c r="C6348" s="4">
        <v>82</v>
      </c>
      <c r="D6348" s="29">
        <f t="shared" si="543"/>
        <v>5199</v>
      </c>
      <c r="F6348" s="129">
        <f t="shared" si="541"/>
        <v>70</v>
      </c>
    </row>
    <row r="6349" spans="1:6" x14ac:dyDescent="0.25">
      <c r="A6349" s="140" t="s">
        <v>28</v>
      </c>
      <c r="B6349" s="136">
        <v>44157</v>
      </c>
      <c r="C6349" s="4">
        <v>28</v>
      </c>
      <c r="D6349" s="29">
        <f t="shared" si="543"/>
        <v>8511</v>
      </c>
      <c r="E6349" s="4">
        <f>1</f>
        <v>1</v>
      </c>
      <c r="F6349" s="129">
        <f t="shared" si="541"/>
        <v>310</v>
      </c>
    </row>
    <row r="6350" spans="1:6" x14ac:dyDescent="0.25">
      <c r="A6350" s="140" t="s">
        <v>24</v>
      </c>
      <c r="B6350" s="136">
        <v>44157</v>
      </c>
      <c r="C6350" s="4">
        <v>152</v>
      </c>
      <c r="D6350" s="29">
        <f t="shared" si="543"/>
        <v>55189</v>
      </c>
      <c r="E6350" s="4">
        <f>2</f>
        <v>2</v>
      </c>
      <c r="F6350" s="129">
        <f t="shared" si="541"/>
        <v>1068</v>
      </c>
    </row>
    <row r="6351" spans="1:6" x14ac:dyDescent="0.25">
      <c r="A6351" s="140" t="s">
        <v>30</v>
      </c>
      <c r="B6351" s="136">
        <v>44157</v>
      </c>
      <c r="C6351" s="4">
        <v>1</v>
      </c>
      <c r="D6351" s="29">
        <f t="shared" si="543"/>
        <v>436</v>
      </c>
      <c r="F6351" s="129">
        <f t="shared" si="541"/>
        <v>8</v>
      </c>
    </row>
    <row r="6352" spans="1:6" x14ac:dyDescent="0.25">
      <c r="A6352" s="140" t="s">
        <v>26</v>
      </c>
      <c r="B6352" s="136">
        <v>44157</v>
      </c>
      <c r="C6352" s="4">
        <v>169</v>
      </c>
      <c r="D6352" s="29">
        <f t="shared" si="543"/>
        <v>29663</v>
      </c>
      <c r="E6352" s="4">
        <f>9+8</f>
        <v>17</v>
      </c>
      <c r="F6352" s="129">
        <f t="shared" si="541"/>
        <v>591</v>
      </c>
    </row>
    <row r="6353" spans="1:6" x14ac:dyDescent="0.25">
      <c r="A6353" s="140" t="s">
        <v>25</v>
      </c>
      <c r="B6353" s="136">
        <v>44157</v>
      </c>
      <c r="C6353" s="4">
        <v>141</v>
      </c>
      <c r="D6353" s="29">
        <f t="shared" si="543"/>
        <v>30056</v>
      </c>
      <c r="F6353" s="129">
        <f t="shared" si="541"/>
        <v>751</v>
      </c>
    </row>
    <row r="6354" spans="1:6" x14ac:dyDescent="0.25">
      <c r="A6354" s="140" t="s">
        <v>41</v>
      </c>
      <c r="B6354" s="136">
        <v>44157</v>
      </c>
      <c r="C6354" s="4">
        <v>28</v>
      </c>
      <c r="D6354" s="29">
        <f t="shared" si="543"/>
        <v>20754</v>
      </c>
      <c r="E6354" s="4">
        <f>1</f>
        <v>1</v>
      </c>
      <c r="F6354" s="129">
        <f t="shared" si="541"/>
        <v>963</v>
      </c>
    </row>
    <row r="6355" spans="1:6" x14ac:dyDescent="0.25">
      <c r="A6355" s="140" t="s">
        <v>42</v>
      </c>
      <c r="B6355" s="136">
        <v>44157</v>
      </c>
      <c r="C6355" s="4">
        <v>62</v>
      </c>
      <c r="D6355" s="29">
        <f t="shared" si="543"/>
        <v>5730</v>
      </c>
      <c r="F6355" s="129">
        <f t="shared" si="541"/>
        <v>143</v>
      </c>
    </row>
    <row r="6356" spans="1:6" x14ac:dyDescent="0.25">
      <c r="A6356" s="140" t="s">
        <v>43</v>
      </c>
      <c r="B6356" s="136">
        <v>44157</v>
      </c>
      <c r="C6356" s="4">
        <v>126</v>
      </c>
      <c r="D6356" s="29">
        <f t="shared" si="543"/>
        <v>13163</v>
      </c>
      <c r="E6356" s="4">
        <v>1</v>
      </c>
      <c r="F6356" s="129">
        <f t="shared" si="541"/>
        <v>179</v>
      </c>
    </row>
    <row r="6357" spans="1:6" x14ac:dyDescent="0.25">
      <c r="A6357" s="140" t="s">
        <v>44</v>
      </c>
      <c r="B6357" s="136">
        <v>44157</v>
      </c>
      <c r="C6357" s="4">
        <v>189</v>
      </c>
      <c r="D6357" s="29">
        <f t="shared" si="543"/>
        <v>14199</v>
      </c>
      <c r="F6357" s="129">
        <f t="shared" si="541"/>
        <v>232</v>
      </c>
    </row>
    <row r="6358" spans="1:6" x14ac:dyDescent="0.25">
      <c r="A6358" s="140" t="s">
        <v>29</v>
      </c>
      <c r="B6358" s="136">
        <v>44157</v>
      </c>
      <c r="C6358" s="4">
        <v>634</v>
      </c>
      <c r="D6358" s="29">
        <f t="shared" si="543"/>
        <v>137897</v>
      </c>
      <c r="E6358" s="4">
        <f>19+12</f>
        <v>31</v>
      </c>
      <c r="F6358" s="129">
        <f t="shared" si="541"/>
        <v>2074</v>
      </c>
    </row>
    <row r="6359" spans="1:6" x14ac:dyDescent="0.25">
      <c r="A6359" s="140" t="s">
        <v>45</v>
      </c>
      <c r="B6359" s="136">
        <v>44157</v>
      </c>
      <c r="C6359" s="4">
        <v>194</v>
      </c>
      <c r="D6359" s="29">
        <f t="shared" si="543"/>
        <v>14558</v>
      </c>
      <c r="F6359" s="129">
        <f t="shared" si="541"/>
        <v>173</v>
      </c>
    </row>
    <row r="6360" spans="1:6" x14ac:dyDescent="0.25">
      <c r="A6360" s="140" t="s">
        <v>46</v>
      </c>
      <c r="B6360" s="136">
        <v>44157</v>
      </c>
      <c r="C6360" s="4">
        <v>77</v>
      </c>
      <c r="D6360" s="29">
        <f t="shared" si="543"/>
        <v>15263</v>
      </c>
      <c r="E6360" s="4">
        <v>1</v>
      </c>
      <c r="F6360" s="129">
        <f t="shared" si="541"/>
        <v>220</v>
      </c>
    </row>
    <row r="6361" spans="1:6" ht="15.75" thickBot="1" x14ac:dyDescent="0.3">
      <c r="A6361" s="141" t="s">
        <v>47</v>
      </c>
      <c r="B6361" s="136">
        <v>44157</v>
      </c>
      <c r="C6361" s="4">
        <v>158</v>
      </c>
      <c r="D6361" s="132">
        <f>C6361+D6337</f>
        <v>63294</v>
      </c>
      <c r="F6361" s="130">
        <f t="shared" si="541"/>
        <v>1058</v>
      </c>
    </row>
    <row r="6362" spans="1:6" x14ac:dyDescent="0.25">
      <c r="A6362" s="64" t="s">
        <v>22</v>
      </c>
      <c r="B6362" s="136">
        <v>44158</v>
      </c>
      <c r="C6362" s="4">
        <v>954</v>
      </c>
      <c r="D6362" s="131">
        <f t="shared" si="543"/>
        <v>605968</v>
      </c>
      <c r="E6362" s="4">
        <f>18+16</f>
        <v>34</v>
      </c>
      <c r="F6362" s="128">
        <f t="shared" si="541"/>
        <v>20025</v>
      </c>
    </row>
    <row r="6363" spans="1:6" x14ac:dyDescent="0.25">
      <c r="A6363" s="140" t="s">
        <v>20</v>
      </c>
      <c r="B6363" s="136">
        <v>44158</v>
      </c>
      <c r="C6363" s="4">
        <v>239</v>
      </c>
      <c r="D6363" s="29">
        <f t="shared" si="543"/>
        <v>156653</v>
      </c>
      <c r="E6363" s="4">
        <f>2+1</f>
        <v>3</v>
      </c>
      <c r="F6363" s="129">
        <f t="shared" si="541"/>
        <v>5142</v>
      </c>
    </row>
    <row r="6364" spans="1:6" x14ac:dyDescent="0.25">
      <c r="A6364" s="140" t="s">
        <v>35</v>
      </c>
      <c r="B6364" s="136">
        <v>44158</v>
      </c>
      <c r="C6364" s="4">
        <v>4</v>
      </c>
      <c r="D6364" s="29">
        <f t="shared" si="543"/>
        <v>1712</v>
      </c>
      <c r="F6364" s="129">
        <f t="shared" si="541"/>
        <v>13</v>
      </c>
    </row>
    <row r="6365" spans="1:6" x14ac:dyDescent="0.25">
      <c r="A6365" s="140" t="s">
        <v>21</v>
      </c>
      <c r="B6365" s="136">
        <v>44158</v>
      </c>
      <c r="C6365" s="4">
        <v>127</v>
      </c>
      <c r="D6365" s="29">
        <f t="shared" si="543"/>
        <v>17905</v>
      </c>
      <c r="E6365" s="4">
        <f>1</f>
        <v>1</v>
      </c>
      <c r="F6365" s="129">
        <f t="shared" si="541"/>
        <v>528</v>
      </c>
    </row>
    <row r="6366" spans="1:6" x14ac:dyDescent="0.25">
      <c r="A6366" s="140" t="s">
        <v>36</v>
      </c>
      <c r="B6366" s="136">
        <v>44158</v>
      </c>
      <c r="C6366" s="4">
        <v>104</v>
      </c>
      <c r="D6366" s="29">
        <f t="shared" si="543"/>
        <v>21271</v>
      </c>
      <c r="E6366" s="4">
        <f>1+1</f>
        <v>2</v>
      </c>
      <c r="F6366" s="129">
        <f t="shared" si="541"/>
        <v>359</v>
      </c>
    </row>
    <row r="6367" spans="1:6" x14ac:dyDescent="0.25">
      <c r="A6367" s="140" t="s">
        <v>27</v>
      </c>
      <c r="B6367" s="136">
        <v>44158</v>
      </c>
      <c r="C6367" s="4">
        <v>365</v>
      </c>
      <c r="D6367" s="29">
        <f t="shared" si="543"/>
        <v>109591</v>
      </c>
      <c r="E6367" s="4">
        <f>9+4</f>
        <v>13</v>
      </c>
      <c r="F6367" s="129">
        <f t="shared" si="541"/>
        <v>1789</v>
      </c>
    </row>
    <row r="6368" spans="1:6" x14ac:dyDescent="0.25">
      <c r="A6368" s="140" t="s">
        <v>37</v>
      </c>
      <c r="B6368" s="136">
        <v>44158</v>
      </c>
      <c r="C6368" s="4">
        <v>121</v>
      </c>
      <c r="D6368" s="29">
        <f t="shared" si="543"/>
        <v>4917</v>
      </c>
      <c r="F6368" s="129">
        <f t="shared" si="541"/>
        <v>86</v>
      </c>
    </row>
    <row r="6369" spans="1:6" x14ac:dyDescent="0.25">
      <c r="A6369" s="140" t="s">
        <v>38</v>
      </c>
      <c r="B6369" s="136">
        <v>44158</v>
      </c>
      <c r="C6369" s="4">
        <v>22</v>
      </c>
      <c r="D6369" s="29">
        <f t="shared" si="543"/>
        <v>21899</v>
      </c>
      <c r="E6369" s="4">
        <f>2</f>
        <v>2</v>
      </c>
      <c r="F6369" s="129">
        <f t="shared" si="541"/>
        <v>420</v>
      </c>
    </row>
    <row r="6370" spans="1:6" x14ac:dyDescent="0.25">
      <c r="A6370" s="140" t="s">
        <v>48</v>
      </c>
      <c r="B6370" s="136">
        <v>44158</v>
      </c>
      <c r="C6370" s="4">
        <v>9</v>
      </c>
      <c r="D6370" s="29">
        <f t="shared" si="543"/>
        <v>189</v>
      </c>
      <c r="F6370" s="129">
        <f t="shared" si="541"/>
        <v>3</v>
      </c>
    </row>
    <row r="6371" spans="1:6" x14ac:dyDescent="0.25">
      <c r="A6371" s="140" t="s">
        <v>39</v>
      </c>
      <c r="B6371" s="136">
        <v>44158</v>
      </c>
      <c r="C6371" s="4">
        <v>3</v>
      </c>
      <c r="D6371" s="29">
        <f t="shared" si="543"/>
        <v>18297</v>
      </c>
      <c r="E6371" s="4">
        <f>2+1</f>
        <v>3</v>
      </c>
      <c r="F6371" s="129">
        <f t="shared" si="541"/>
        <v>845</v>
      </c>
    </row>
    <row r="6372" spans="1:6" x14ac:dyDescent="0.25">
      <c r="A6372" s="140" t="s">
        <v>40</v>
      </c>
      <c r="B6372" s="136">
        <v>44158</v>
      </c>
      <c r="C6372" s="4">
        <v>38</v>
      </c>
      <c r="D6372" s="29">
        <f t="shared" si="543"/>
        <v>5237</v>
      </c>
      <c r="E6372" s="4">
        <f>2</f>
        <v>2</v>
      </c>
      <c r="F6372" s="129">
        <f t="shared" si="541"/>
        <v>72</v>
      </c>
    </row>
    <row r="6373" spans="1:6" x14ac:dyDescent="0.25">
      <c r="A6373" s="140" t="s">
        <v>28</v>
      </c>
      <c r="B6373" s="136">
        <v>44158</v>
      </c>
      <c r="C6373" s="4">
        <v>43</v>
      </c>
      <c r="D6373" s="29">
        <f t="shared" si="543"/>
        <v>8554</v>
      </c>
      <c r="F6373" s="129">
        <f t="shared" si="541"/>
        <v>310</v>
      </c>
    </row>
    <row r="6374" spans="1:6" x14ac:dyDescent="0.25">
      <c r="A6374" s="140" t="s">
        <v>24</v>
      </c>
      <c r="B6374" s="136">
        <v>44158</v>
      </c>
      <c r="C6374" s="4">
        <v>113</v>
      </c>
      <c r="D6374" s="29">
        <f t="shared" si="543"/>
        <v>55302</v>
      </c>
      <c r="E6374" s="4">
        <f>4+1</f>
        <v>5</v>
      </c>
      <c r="F6374" s="129">
        <f t="shared" si="541"/>
        <v>1073</v>
      </c>
    </row>
    <row r="6375" spans="1:6" x14ac:dyDescent="0.25">
      <c r="A6375" s="140" t="s">
        <v>30</v>
      </c>
      <c r="B6375" s="136">
        <v>44158</v>
      </c>
      <c r="C6375" s="4">
        <v>12</v>
      </c>
      <c r="D6375" s="29">
        <f t="shared" si="543"/>
        <v>448</v>
      </c>
      <c r="F6375" s="129">
        <f t="shared" si="541"/>
        <v>8</v>
      </c>
    </row>
    <row r="6376" spans="1:6" x14ac:dyDescent="0.25">
      <c r="A6376" s="140" t="s">
        <v>26</v>
      </c>
      <c r="B6376" s="136">
        <v>44158</v>
      </c>
      <c r="C6376" s="4">
        <v>356</v>
      </c>
      <c r="D6376" s="29">
        <f t="shared" si="543"/>
        <v>30019</v>
      </c>
      <c r="E6376" s="4">
        <f>1+1</f>
        <v>2</v>
      </c>
      <c r="F6376" s="129">
        <f t="shared" si="541"/>
        <v>593</v>
      </c>
    </row>
    <row r="6377" spans="1:6" x14ac:dyDescent="0.25">
      <c r="A6377" s="140" t="s">
        <v>25</v>
      </c>
      <c r="B6377" s="136">
        <v>44158</v>
      </c>
      <c r="C6377" s="4">
        <v>92</v>
      </c>
      <c r="D6377" s="29">
        <f t="shared" si="543"/>
        <v>30148</v>
      </c>
      <c r="E6377" s="4">
        <f>2+1</f>
        <v>3</v>
      </c>
      <c r="F6377" s="129">
        <f t="shared" si="541"/>
        <v>754</v>
      </c>
    </row>
    <row r="6378" spans="1:6" x14ac:dyDescent="0.25">
      <c r="A6378" s="140" t="s">
        <v>41</v>
      </c>
      <c r="B6378" s="136">
        <v>44158</v>
      </c>
      <c r="C6378" s="4">
        <v>17</v>
      </c>
      <c r="D6378" s="29">
        <f t="shared" si="543"/>
        <v>20771</v>
      </c>
      <c r="F6378" s="129">
        <f t="shared" si="541"/>
        <v>963</v>
      </c>
    </row>
    <row r="6379" spans="1:6" x14ac:dyDescent="0.25">
      <c r="A6379" s="140" t="s">
        <v>42</v>
      </c>
      <c r="B6379" s="136">
        <v>44158</v>
      </c>
      <c r="C6379" s="4">
        <v>48</v>
      </c>
      <c r="D6379" s="29">
        <f t="shared" si="543"/>
        <v>5778</v>
      </c>
      <c r="F6379" s="129">
        <f t="shared" ref="F6379:F6442" si="544">E6379+F6355</f>
        <v>143</v>
      </c>
    </row>
    <row r="6380" spans="1:6" x14ac:dyDescent="0.25">
      <c r="A6380" s="140" t="s">
        <v>43</v>
      </c>
      <c r="B6380" s="136">
        <v>44158</v>
      </c>
      <c r="C6380" s="4">
        <v>46</v>
      </c>
      <c r="D6380" s="29">
        <f t="shared" si="543"/>
        <v>13209</v>
      </c>
      <c r="E6380" s="4">
        <f>2</f>
        <v>2</v>
      </c>
      <c r="F6380" s="129">
        <f t="shared" si="544"/>
        <v>181</v>
      </c>
    </row>
    <row r="6381" spans="1:6" x14ac:dyDescent="0.25">
      <c r="A6381" s="140" t="s">
        <v>44</v>
      </c>
      <c r="B6381" s="136">
        <v>44158</v>
      </c>
      <c r="C6381" s="4">
        <v>110</v>
      </c>
      <c r="D6381" s="29">
        <f t="shared" si="543"/>
        <v>14309</v>
      </c>
      <c r="E6381" s="4">
        <f>6+1</f>
        <v>7</v>
      </c>
      <c r="F6381" s="129">
        <f t="shared" si="544"/>
        <v>239</v>
      </c>
    </row>
    <row r="6382" spans="1:6" x14ac:dyDescent="0.25">
      <c r="A6382" s="140" t="s">
        <v>29</v>
      </c>
      <c r="B6382" s="136">
        <v>44158</v>
      </c>
      <c r="C6382" s="4">
        <v>1021</v>
      </c>
      <c r="D6382" s="29">
        <f t="shared" si="543"/>
        <v>138918</v>
      </c>
      <c r="E6382" s="4">
        <v>23</v>
      </c>
      <c r="F6382" s="129">
        <f t="shared" si="544"/>
        <v>2097</v>
      </c>
    </row>
    <row r="6383" spans="1:6" x14ac:dyDescent="0.25">
      <c r="A6383" s="140" t="s">
        <v>45</v>
      </c>
      <c r="B6383" s="136">
        <v>44158</v>
      </c>
      <c r="C6383" s="4">
        <v>81</v>
      </c>
      <c r="D6383" s="29">
        <f t="shared" si="543"/>
        <v>14639</v>
      </c>
      <c r="E6383" s="4">
        <f>1+1</f>
        <v>2</v>
      </c>
      <c r="F6383" s="129">
        <f t="shared" si="544"/>
        <v>175</v>
      </c>
    </row>
    <row r="6384" spans="1:6" x14ac:dyDescent="0.25">
      <c r="A6384" s="140" t="s">
        <v>46</v>
      </c>
      <c r="B6384" s="136">
        <v>44158</v>
      </c>
      <c r="C6384" s="4">
        <v>152</v>
      </c>
      <c r="D6384" s="29">
        <f t="shared" si="543"/>
        <v>15415</v>
      </c>
      <c r="F6384" s="129">
        <f t="shared" si="544"/>
        <v>220</v>
      </c>
    </row>
    <row r="6385" spans="1:6" ht="15.75" thickBot="1" x14ac:dyDescent="0.3">
      <c r="A6385" s="141" t="s">
        <v>47</v>
      </c>
      <c r="B6385" s="136">
        <v>44158</v>
      </c>
      <c r="C6385" s="4">
        <v>188</v>
      </c>
      <c r="D6385" s="132">
        <f>C6385+D6361</f>
        <v>63482</v>
      </c>
      <c r="E6385" s="4">
        <f>7+8</f>
        <v>15</v>
      </c>
      <c r="F6385" s="130">
        <f t="shared" si="544"/>
        <v>1073</v>
      </c>
    </row>
    <row r="6386" spans="1:6" x14ac:dyDescent="0.25">
      <c r="A6386" s="64" t="s">
        <v>22</v>
      </c>
      <c r="B6386" s="136">
        <v>44159</v>
      </c>
      <c r="C6386" s="4">
        <v>1929</v>
      </c>
      <c r="D6386" s="131">
        <f t="shared" si="543"/>
        <v>607897</v>
      </c>
      <c r="E6386" s="4">
        <f>76+76</f>
        <v>152</v>
      </c>
      <c r="F6386" s="128">
        <f t="shared" si="544"/>
        <v>20177</v>
      </c>
    </row>
    <row r="6387" spans="1:6" x14ac:dyDescent="0.25">
      <c r="A6387" s="140" t="s">
        <v>20</v>
      </c>
      <c r="B6387" s="136">
        <v>44159</v>
      </c>
      <c r="C6387" s="4">
        <v>250</v>
      </c>
      <c r="D6387" s="29">
        <f t="shared" si="543"/>
        <v>156903</v>
      </c>
      <c r="E6387" s="4">
        <f>4+8</f>
        <v>12</v>
      </c>
      <c r="F6387" s="129">
        <f t="shared" si="544"/>
        <v>5154</v>
      </c>
    </row>
    <row r="6388" spans="1:6" x14ac:dyDescent="0.25">
      <c r="A6388" s="140" t="s">
        <v>35</v>
      </c>
      <c r="B6388" s="136">
        <v>44159</v>
      </c>
      <c r="C6388" s="4">
        <v>13</v>
      </c>
      <c r="D6388" s="29">
        <f t="shared" si="543"/>
        <v>1725</v>
      </c>
      <c r="F6388" s="129">
        <f t="shared" si="544"/>
        <v>13</v>
      </c>
    </row>
    <row r="6389" spans="1:6" x14ac:dyDescent="0.25">
      <c r="A6389" s="140" t="s">
        <v>21</v>
      </c>
      <c r="B6389" s="136">
        <v>44159</v>
      </c>
      <c r="C6389" s="4">
        <v>177</v>
      </c>
      <c r="D6389" s="29">
        <f t="shared" si="543"/>
        <v>18082</v>
      </c>
      <c r="E6389" s="4">
        <f>4+1</f>
        <v>5</v>
      </c>
      <c r="F6389" s="129">
        <f t="shared" si="544"/>
        <v>533</v>
      </c>
    </row>
    <row r="6390" spans="1:6" x14ac:dyDescent="0.25">
      <c r="A6390" s="140" t="s">
        <v>36</v>
      </c>
      <c r="B6390" s="136">
        <v>44159</v>
      </c>
      <c r="C6390" s="4">
        <v>227</v>
      </c>
      <c r="D6390" s="29">
        <f t="shared" si="543"/>
        <v>21498</v>
      </c>
      <c r="E6390" s="4">
        <f>1+1</f>
        <v>2</v>
      </c>
      <c r="F6390" s="129">
        <f t="shared" si="544"/>
        <v>361</v>
      </c>
    </row>
    <row r="6391" spans="1:6" x14ac:dyDescent="0.25">
      <c r="A6391" s="140" t="s">
        <v>27</v>
      </c>
      <c r="B6391" s="136">
        <v>44159</v>
      </c>
      <c r="C6391" s="4">
        <v>471</v>
      </c>
      <c r="D6391" s="29">
        <f t="shared" si="543"/>
        <v>110062</v>
      </c>
      <c r="E6391" s="4">
        <f>22+11</f>
        <v>33</v>
      </c>
      <c r="F6391" s="129">
        <f t="shared" si="544"/>
        <v>1822</v>
      </c>
    </row>
    <row r="6392" spans="1:6" x14ac:dyDescent="0.25">
      <c r="A6392" s="140" t="s">
        <v>37</v>
      </c>
      <c r="B6392" s="136">
        <v>44159</v>
      </c>
      <c r="C6392" s="4">
        <v>92</v>
      </c>
      <c r="D6392" s="29">
        <f t="shared" si="543"/>
        <v>5009</v>
      </c>
      <c r="F6392" s="129">
        <f t="shared" si="544"/>
        <v>86</v>
      </c>
    </row>
    <row r="6393" spans="1:6" x14ac:dyDescent="0.25">
      <c r="A6393" s="140" t="s">
        <v>38</v>
      </c>
      <c r="B6393" s="136">
        <v>44159</v>
      </c>
      <c r="C6393" s="4">
        <v>177</v>
      </c>
      <c r="D6393" s="29">
        <f t="shared" si="543"/>
        <v>22076</v>
      </c>
      <c r="E6393" s="4">
        <f>8+6</f>
        <v>14</v>
      </c>
      <c r="F6393" s="129">
        <f t="shared" si="544"/>
        <v>434</v>
      </c>
    </row>
    <row r="6394" spans="1:6" x14ac:dyDescent="0.25">
      <c r="A6394" s="140" t="s">
        <v>48</v>
      </c>
      <c r="B6394" s="136">
        <v>44159</v>
      </c>
      <c r="C6394" s="4">
        <v>2</v>
      </c>
      <c r="D6394" s="29">
        <f t="shared" si="543"/>
        <v>191</v>
      </c>
      <c r="F6394" s="129">
        <f t="shared" si="544"/>
        <v>3</v>
      </c>
    </row>
    <row r="6395" spans="1:6" x14ac:dyDescent="0.25">
      <c r="A6395" s="140" t="s">
        <v>39</v>
      </c>
      <c r="B6395" s="136">
        <v>44159</v>
      </c>
      <c r="C6395" s="4">
        <v>20</v>
      </c>
      <c r="D6395" s="29">
        <f t="shared" si="543"/>
        <v>18317</v>
      </c>
      <c r="F6395" s="129">
        <f t="shared" si="544"/>
        <v>845</v>
      </c>
    </row>
    <row r="6396" spans="1:6" x14ac:dyDescent="0.25">
      <c r="A6396" s="140" t="s">
        <v>40</v>
      </c>
      <c r="B6396" s="136">
        <v>44159</v>
      </c>
      <c r="C6396" s="4">
        <v>61</v>
      </c>
      <c r="D6396" s="29">
        <f t="shared" si="543"/>
        <v>5298</v>
      </c>
      <c r="E6396" s="4">
        <f>1</f>
        <v>1</v>
      </c>
      <c r="F6396" s="129">
        <f t="shared" si="544"/>
        <v>73</v>
      </c>
    </row>
    <row r="6397" spans="1:6" x14ac:dyDescent="0.25">
      <c r="A6397" s="140" t="s">
        <v>28</v>
      </c>
      <c r="B6397" s="136">
        <v>44159</v>
      </c>
      <c r="C6397" s="4">
        <v>16</v>
      </c>
      <c r="D6397" s="29">
        <f t="shared" si="543"/>
        <v>8570</v>
      </c>
      <c r="F6397" s="129">
        <f t="shared" si="544"/>
        <v>310</v>
      </c>
    </row>
    <row r="6398" spans="1:6" x14ac:dyDescent="0.25">
      <c r="A6398" s="140" t="s">
        <v>24</v>
      </c>
      <c r="B6398" s="136">
        <v>44159</v>
      </c>
      <c r="C6398" s="4">
        <v>198</v>
      </c>
      <c r="D6398" s="29">
        <f t="shared" si="543"/>
        <v>55500</v>
      </c>
      <c r="E6398" s="4">
        <f>1+2</f>
        <v>3</v>
      </c>
      <c r="F6398" s="129">
        <f t="shared" si="544"/>
        <v>1076</v>
      </c>
    </row>
    <row r="6399" spans="1:6" x14ac:dyDescent="0.25">
      <c r="A6399" s="140" t="s">
        <v>30</v>
      </c>
      <c r="B6399" s="136">
        <v>44159</v>
      </c>
      <c r="C6399" s="4">
        <v>10</v>
      </c>
      <c r="D6399" s="29">
        <f t="shared" si="543"/>
        <v>458</v>
      </c>
      <c r="F6399" s="129">
        <f t="shared" si="544"/>
        <v>8</v>
      </c>
    </row>
    <row r="6400" spans="1:6" x14ac:dyDescent="0.25">
      <c r="A6400" s="140" t="s">
        <v>26</v>
      </c>
      <c r="B6400" s="136">
        <v>44159</v>
      </c>
      <c r="C6400" s="4">
        <v>485</v>
      </c>
      <c r="D6400" s="29">
        <f t="shared" si="543"/>
        <v>30504</v>
      </c>
      <c r="F6400" s="129">
        <f t="shared" si="544"/>
        <v>593</v>
      </c>
    </row>
    <row r="6401" spans="1:6" x14ac:dyDescent="0.25">
      <c r="A6401" s="140" t="s">
        <v>25</v>
      </c>
      <c r="B6401" s="136">
        <v>44159</v>
      </c>
      <c r="C6401" s="4">
        <v>234</v>
      </c>
      <c r="D6401" s="29">
        <f t="shared" si="543"/>
        <v>30382</v>
      </c>
      <c r="E6401" s="4">
        <f>1</f>
        <v>1</v>
      </c>
      <c r="F6401" s="129">
        <f t="shared" si="544"/>
        <v>755</v>
      </c>
    </row>
    <row r="6402" spans="1:6" x14ac:dyDescent="0.25">
      <c r="A6402" s="140" t="s">
        <v>41</v>
      </c>
      <c r="B6402" s="136">
        <v>44159</v>
      </c>
      <c r="C6402" s="4">
        <v>97</v>
      </c>
      <c r="D6402" s="29">
        <f t="shared" ref="D6402:D6408" si="545">C6402+D6378</f>
        <v>20868</v>
      </c>
      <c r="E6402" s="4">
        <f>6+4</f>
        <v>10</v>
      </c>
      <c r="F6402" s="129">
        <f t="shared" si="544"/>
        <v>973</v>
      </c>
    </row>
    <row r="6403" spans="1:6" x14ac:dyDescent="0.25">
      <c r="A6403" s="140" t="s">
        <v>42</v>
      </c>
      <c r="B6403" s="136">
        <v>44159</v>
      </c>
      <c r="C6403" s="4">
        <v>493</v>
      </c>
      <c r="D6403" s="29">
        <f t="shared" si="545"/>
        <v>6271</v>
      </c>
      <c r="F6403" s="129">
        <f t="shared" si="544"/>
        <v>143</v>
      </c>
    </row>
    <row r="6404" spans="1:6" x14ac:dyDescent="0.25">
      <c r="A6404" s="140" t="s">
        <v>43</v>
      </c>
      <c r="B6404" s="136">
        <v>44159</v>
      </c>
      <c r="C6404" s="4">
        <v>178</v>
      </c>
      <c r="D6404" s="29">
        <f t="shared" si="545"/>
        <v>13387</v>
      </c>
      <c r="E6404" s="4">
        <f>6+1</f>
        <v>7</v>
      </c>
      <c r="F6404" s="129">
        <f t="shared" si="544"/>
        <v>188</v>
      </c>
    </row>
    <row r="6405" spans="1:6" x14ac:dyDescent="0.25">
      <c r="A6405" s="140" t="s">
        <v>44</v>
      </c>
      <c r="B6405" s="136">
        <v>44159</v>
      </c>
      <c r="C6405" s="4">
        <v>208</v>
      </c>
      <c r="D6405" s="29">
        <f t="shared" si="545"/>
        <v>14517</v>
      </c>
      <c r="E6405" s="4">
        <f>5+4</f>
        <v>9</v>
      </c>
      <c r="F6405" s="129">
        <f t="shared" si="544"/>
        <v>248</v>
      </c>
    </row>
    <row r="6406" spans="1:6" x14ac:dyDescent="0.25">
      <c r="A6406" s="140" t="s">
        <v>29</v>
      </c>
      <c r="B6406" s="136">
        <v>44159</v>
      </c>
      <c r="C6406" s="4">
        <v>1187</v>
      </c>
      <c r="D6406" s="29">
        <f t="shared" si="545"/>
        <v>140105</v>
      </c>
      <c r="E6406" s="4">
        <f>15+17</f>
        <v>32</v>
      </c>
      <c r="F6406" s="129">
        <f t="shared" si="544"/>
        <v>2129</v>
      </c>
    </row>
    <row r="6407" spans="1:6" x14ac:dyDescent="0.25">
      <c r="A6407" s="140" t="s">
        <v>45</v>
      </c>
      <c r="B6407" s="136">
        <v>44159</v>
      </c>
      <c r="C6407" s="4">
        <v>75</v>
      </c>
      <c r="D6407" s="29">
        <f t="shared" si="545"/>
        <v>14714</v>
      </c>
      <c r="E6407" s="4">
        <f>1+4</f>
        <v>5</v>
      </c>
      <c r="F6407" s="129">
        <f t="shared" si="544"/>
        <v>180</v>
      </c>
    </row>
    <row r="6408" spans="1:6" x14ac:dyDescent="0.25">
      <c r="A6408" s="140" t="s">
        <v>46</v>
      </c>
      <c r="B6408" s="136">
        <v>44159</v>
      </c>
      <c r="C6408" s="4">
        <v>109</v>
      </c>
      <c r="D6408" s="29">
        <f t="shared" si="545"/>
        <v>15524</v>
      </c>
      <c r="E6408" s="4">
        <f>2</f>
        <v>2</v>
      </c>
      <c r="F6408" s="129">
        <f t="shared" si="544"/>
        <v>222</v>
      </c>
    </row>
    <row r="6409" spans="1:6" ht="15.75" thickBot="1" x14ac:dyDescent="0.3">
      <c r="A6409" s="141" t="s">
        <v>47</v>
      </c>
      <c r="B6409" s="136">
        <v>44159</v>
      </c>
      <c r="C6409" s="4">
        <v>455</v>
      </c>
      <c r="D6409" s="132">
        <f>C6409+D6385</f>
        <v>63937</v>
      </c>
      <c r="E6409" s="4">
        <f>16+7</f>
        <v>23</v>
      </c>
      <c r="F6409" s="130">
        <f t="shared" si="544"/>
        <v>1096</v>
      </c>
    </row>
    <row r="6410" spans="1:6" x14ac:dyDescent="0.25">
      <c r="A6410" s="64" t="s">
        <v>22</v>
      </c>
      <c r="B6410" s="136">
        <v>44160</v>
      </c>
      <c r="C6410" s="4">
        <v>2262</v>
      </c>
      <c r="D6410" s="131">
        <f t="shared" ref="D6410:D6473" si="546">C6410+D6386</f>
        <v>610159</v>
      </c>
      <c r="E6410" s="4">
        <v>76</v>
      </c>
      <c r="F6410" s="128">
        <f t="shared" si="544"/>
        <v>20253</v>
      </c>
    </row>
    <row r="6411" spans="1:6" x14ac:dyDescent="0.25">
      <c r="A6411" s="140" t="s">
        <v>20</v>
      </c>
      <c r="B6411" s="136">
        <v>44160</v>
      </c>
      <c r="C6411" s="4">
        <v>324</v>
      </c>
      <c r="D6411" s="29">
        <f t="shared" si="546"/>
        <v>157227</v>
      </c>
      <c r="E6411" s="4">
        <v>11</v>
      </c>
      <c r="F6411" s="129">
        <f t="shared" si="544"/>
        <v>5165</v>
      </c>
    </row>
    <row r="6412" spans="1:6" x14ac:dyDescent="0.25">
      <c r="A6412" s="140" t="s">
        <v>35</v>
      </c>
      <c r="B6412" s="136">
        <v>44160</v>
      </c>
      <c r="C6412" s="4">
        <v>12</v>
      </c>
      <c r="D6412" s="29">
        <f t="shared" si="546"/>
        <v>1737</v>
      </c>
      <c r="F6412" s="129">
        <f t="shared" si="544"/>
        <v>13</v>
      </c>
    </row>
    <row r="6413" spans="1:6" x14ac:dyDescent="0.25">
      <c r="A6413" s="140" t="s">
        <v>21</v>
      </c>
      <c r="B6413" s="136">
        <v>44160</v>
      </c>
      <c r="C6413" s="4">
        <v>166</v>
      </c>
      <c r="D6413" s="29">
        <f t="shared" si="546"/>
        <v>18248</v>
      </c>
      <c r="E6413" s="4">
        <v>1</v>
      </c>
      <c r="F6413" s="129">
        <f t="shared" si="544"/>
        <v>534</v>
      </c>
    </row>
    <row r="6414" spans="1:6" x14ac:dyDescent="0.25">
      <c r="A6414" s="140" t="s">
        <v>36</v>
      </c>
      <c r="B6414" s="136">
        <v>44160</v>
      </c>
      <c r="C6414" s="4">
        <v>259</v>
      </c>
      <c r="D6414" s="29">
        <f t="shared" si="546"/>
        <v>21757</v>
      </c>
      <c r="E6414" s="4">
        <v>1</v>
      </c>
      <c r="F6414" s="129">
        <f t="shared" si="544"/>
        <v>362</v>
      </c>
    </row>
    <row r="6415" spans="1:6" x14ac:dyDescent="0.25">
      <c r="A6415" s="140" t="s">
        <v>27</v>
      </c>
      <c r="B6415" s="136">
        <v>44160</v>
      </c>
      <c r="C6415" s="4">
        <v>881</v>
      </c>
      <c r="D6415" s="29">
        <f t="shared" si="546"/>
        <v>110943</v>
      </c>
      <c r="E6415" s="4">
        <v>36</v>
      </c>
      <c r="F6415" s="129">
        <f t="shared" si="544"/>
        <v>1858</v>
      </c>
    </row>
    <row r="6416" spans="1:6" x14ac:dyDescent="0.25">
      <c r="A6416" s="140" t="s">
        <v>37</v>
      </c>
      <c r="B6416" s="136">
        <v>44160</v>
      </c>
      <c r="C6416" s="4">
        <v>125</v>
      </c>
      <c r="D6416" s="29">
        <f t="shared" si="546"/>
        <v>5134</v>
      </c>
      <c r="F6416" s="129">
        <f t="shared" si="544"/>
        <v>86</v>
      </c>
    </row>
    <row r="6417" spans="1:6" x14ac:dyDescent="0.25">
      <c r="A6417" s="140" t="s">
        <v>38</v>
      </c>
      <c r="B6417" s="136">
        <v>44160</v>
      </c>
      <c r="C6417" s="4">
        <v>191</v>
      </c>
      <c r="D6417" s="29">
        <f t="shared" si="546"/>
        <v>22267</v>
      </c>
      <c r="E6417" s="4">
        <v>18</v>
      </c>
      <c r="F6417" s="129">
        <f t="shared" si="544"/>
        <v>452</v>
      </c>
    </row>
    <row r="6418" spans="1:6" x14ac:dyDescent="0.25">
      <c r="A6418" s="140" t="s">
        <v>48</v>
      </c>
      <c r="B6418" s="136">
        <v>44160</v>
      </c>
      <c r="C6418" s="4">
        <v>-13</v>
      </c>
      <c r="D6418" s="29">
        <f t="shared" si="546"/>
        <v>178</v>
      </c>
      <c r="F6418" s="129">
        <f t="shared" si="544"/>
        <v>3</v>
      </c>
    </row>
    <row r="6419" spans="1:6" x14ac:dyDescent="0.25">
      <c r="A6419" s="140" t="s">
        <v>39</v>
      </c>
      <c r="B6419" s="136">
        <v>44160</v>
      </c>
      <c r="C6419" s="4">
        <v>15</v>
      </c>
      <c r="D6419" s="29">
        <f t="shared" si="546"/>
        <v>18332</v>
      </c>
      <c r="F6419" s="129">
        <f t="shared" si="544"/>
        <v>845</v>
      </c>
    </row>
    <row r="6420" spans="1:6" x14ac:dyDescent="0.25">
      <c r="A6420" s="140" t="s">
        <v>40</v>
      </c>
      <c r="B6420" s="136">
        <v>44160</v>
      </c>
      <c r="C6420" s="4">
        <v>105</v>
      </c>
      <c r="D6420" s="29">
        <f t="shared" si="546"/>
        <v>5403</v>
      </c>
      <c r="E6420" s="4">
        <v>2</v>
      </c>
      <c r="F6420" s="129">
        <f t="shared" si="544"/>
        <v>75</v>
      </c>
    </row>
    <row r="6421" spans="1:6" x14ac:dyDescent="0.25">
      <c r="A6421" s="140" t="s">
        <v>28</v>
      </c>
      <c r="B6421" s="136">
        <v>44160</v>
      </c>
      <c r="C6421" s="4">
        <v>18</v>
      </c>
      <c r="D6421" s="29">
        <f t="shared" si="546"/>
        <v>8588</v>
      </c>
      <c r="F6421" s="129">
        <f t="shared" si="544"/>
        <v>310</v>
      </c>
    </row>
    <row r="6422" spans="1:6" x14ac:dyDescent="0.25">
      <c r="A6422" s="140" t="s">
        <v>24</v>
      </c>
      <c r="B6422" s="136">
        <v>44160</v>
      </c>
      <c r="C6422" s="4">
        <v>264</v>
      </c>
      <c r="D6422" s="29">
        <f t="shared" si="546"/>
        <v>55764</v>
      </c>
      <c r="E6422" s="4">
        <v>4</v>
      </c>
      <c r="F6422" s="129">
        <f t="shared" si="544"/>
        <v>1080</v>
      </c>
    </row>
    <row r="6423" spans="1:6" x14ac:dyDescent="0.25">
      <c r="A6423" s="140" t="s">
        <v>30</v>
      </c>
      <c r="B6423" s="136">
        <v>44160</v>
      </c>
      <c r="C6423" s="4">
        <v>8</v>
      </c>
      <c r="D6423" s="29">
        <f t="shared" si="546"/>
        <v>466</v>
      </c>
      <c r="E6423" s="4">
        <v>1</v>
      </c>
      <c r="F6423" s="129">
        <f t="shared" si="544"/>
        <v>9</v>
      </c>
    </row>
    <row r="6424" spans="1:6" x14ac:dyDescent="0.25">
      <c r="A6424" s="140" t="s">
        <v>26</v>
      </c>
      <c r="B6424" s="136">
        <v>44160</v>
      </c>
      <c r="C6424" s="4">
        <v>394</v>
      </c>
      <c r="D6424" s="29">
        <f t="shared" si="546"/>
        <v>30898</v>
      </c>
      <c r="E6424" s="4">
        <v>20</v>
      </c>
      <c r="F6424" s="129">
        <f t="shared" si="544"/>
        <v>613</v>
      </c>
    </row>
    <row r="6425" spans="1:6" x14ac:dyDescent="0.25">
      <c r="A6425" s="140" t="s">
        <v>25</v>
      </c>
      <c r="B6425" s="136">
        <v>44160</v>
      </c>
      <c r="C6425" s="4">
        <v>350</v>
      </c>
      <c r="D6425" s="29">
        <f t="shared" si="546"/>
        <v>30732</v>
      </c>
      <c r="E6425" s="4">
        <v>6</v>
      </c>
      <c r="F6425" s="129">
        <f t="shared" si="544"/>
        <v>761</v>
      </c>
    </row>
    <row r="6426" spans="1:6" x14ac:dyDescent="0.25">
      <c r="A6426" s="140" t="s">
        <v>41</v>
      </c>
      <c r="B6426" s="136">
        <v>44160</v>
      </c>
      <c r="C6426" s="4">
        <v>84</v>
      </c>
      <c r="D6426" s="29">
        <f t="shared" si="546"/>
        <v>20952</v>
      </c>
      <c r="E6426" s="4">
        <v>2</v>
      </c>
      <c r="F6426" s="129">
        <f t="shared" si="544"/>
        <v>975</v>
      </c>
    </row>
    <row r="6427" spans="1:6" x14ac:dyDescent="0.25">
      <c r="A6427" s="140" t="s">
        <v>42</v>
      </c>
      <c r="B6427" s="136">
        <v>44160</v>
      </c>
      <c r="C6427" s="4">
        <v>451</v>
      </c>
      <c r="D6427" s="29">
        <f t="shared" si="546"/>
        <v>6722</v>
      </c>
      <c r="E6427" s="4">
        <v>28</v>
      </c>
      <c r="F6427" s="129">
        <f t="shared" si="544"/>
        <v>171</v>
      </c>
    </row>
    <row r="6428" spans="1:6" x14ac:dyDescent="0.25">
      <c r="A6428" s="140" t="s">
        <v>43</v>
      </c>
      <c r="B6428" s="136">
        <v>44160</v>
      </c>
      <c r="C6428" s="4">
        <v>185</v>
      </c>
      <c r="D6428" s="29">
        <f t="shared" si="546"/>
        <v>13572</v>
      </c>
      <c r="E6428" s="4">
        <v>2</v>
      </c>
      <c r="F6428" s="129">
        <f t="shared" si="544"/>
        <v>190</v>
      </c>
    </row>
    <row r="6429" spans="1:6" x14ac:dyDescent="0.25">
      <c r="A6429" s="140" t="s">
        <v>44</v>
      </c>
      <c r="B6429" s="136">
        <v>44160</v>
      </c>
      <c r="C6429" s="4">
        <v>327</v>
      </c>
      <c r="D6429" s="29">
        <f t="shared" si="546"/>
        <v>14844</v>
      </c>
      <c r="E6429" s="4">
        <v>7</v>
      </c>
      <c r="F6429" s="129">
        <f t="shared" si="544"/>
        <v>255</v>
      </c>
    </row>
    <row r="6430" spans="1:6" x14ac:dyDescent="0.25">
      <c r="A6430" s="140" t="s">
        <v>29</v>
      </c>
      <c r="B6430" s="136">
        <v>44160</v>
      </c>
      <c r="C6430" s="4">
        <v>1490</v>
      </c>
      <c r="D6430" s="29">
        <f t="shared" si="546"/>
        <v>141595</v>
      </c>
      <c r="E6430" s="4">
        <v>31</v>
      </c>
      <c r="F6430" s="129">
        <f t="shared" si="544"/>
        <v>2160</v>
      </c>
    </row>
    <row r="6431" spans="1:6" x14ac:dyDescent="0.25">
      <c r="A6431" s="140" t="s">
        <v>45</v>
      </c>
      <c r="B6431" s="136">
        <v>44160</v>
      </c>
      <c r="C6431" s="4">
        <v>154</v>
      </c>
      <c r="D6431" s="29">
        <f t="shared" si="546"/>
        <v>14868</v>
      </c>
      <c r="E6431" s="4">
        <v>2</v>
      </c>
      <c r="F6431" s="129">
        <f t="shared" si="544"/>
        <v>182</v>
      </c>
    </row>
    <row r="6432" spans="1:6" x14ac:dyDescent="0.25">
      <c r="A6432" s="140" t="s">
        <v>46</v>
      </c>
      <c r="B6432" s="136">
        <v>44160</v>
      </c>
      <c r="C6432" s="4">
        <v>177</v>
      </c>
      <c r="D6432" s="29">
        <f t="shared" si="546"/>
        <v>15701</v>
      </c>
      <c r="E6432" s="4">
        <v>4</v>
      </c>
      <c r="F6432" s="129">
        <f t="shared" si="544"/>
        <v>226</v>
      </c>
    </row>
    <row r="6433" spans="1:7" ht="15.75" thickBot="1" x14ac:dyDescent="0.3">
      <c r="A6433" s="141" t="s">
        <v>47</v>
      </c>
      <c r="B6433" s="136">
        <v>44160</v>
      </c>
      <c r="C6433" s="4">
        <v>364</v>
      </c>
      <c r="D6433" s="132">
        <f>C6433+D6409</f>
        <v>64301</v>
      </c>
      <c r="E6433" s="4">
        <v>30</v>
      </c>
      <c r="F6433" s="130">
        <f t="shared" si="544"/>
        <v>1126</v>
      </c>
    </row>
    <row r="6434" spans="1:7" x14ac:dyDescent="0.25">
      <c r="A6434" s="64" t="s">
        <v>22</v>
      </c>
      <c r="B6434" s="136">
        <v>44161</v>
      </c>
      <c r="C6434" s="4">
        <v>2589</v>
      </c>
      <c r="D6434" s="131">
        <f t="shared" si="546"/>
        <v>612748</v>
      </c>
      <c r="E6434" s="4">
        <v>64</v>
      </c>
      <c r="F6434" s="128">
        <f t="shared" si="544"/>
        <v>20317</v>
      </c>
    </row>
    <row r="6435" spans="1:7" x14ac:dyDescent="0.25">
      <c r="A6435" s="140" t="s">
        <v>20</v>
      </c>
      <c r="B6435" s="136">
        <v>44161</v>
      </c>
      <c r="C6435" s="4">
        <v>344</v>
      </c>
      <c r="D6435" s="29">
        <f t="shared" si="546"/>
        <v>157571</v>
      </c>
      <c r="E6435" s="4">
        <v>13</v>
      </c>
      <c r="F6435" s="129">
        <f t="shared" si="544"/>
        <v>5178</v>
      </c>
      <c r="G6435" s="88"/>
    </row>
    <row r="6436" spans="1:7" x14ac:dyDescent="0.25">
      <c r="A6436" s="140" t="s">
        <v>35</v>
      </c>
      <c r="B6436" s="136">
        <v>44161</v>
      </c>
      <c r="C6436" s="4">
        <v>42</v>
      </c>
      <c r="D6436" s="29">
        <f t="shared" si="546"/>
        <v>1779</v>
      </c>
      <c r="E6436" s="4">
        <v>2</v>
      </c>
      <c r="F6436" s="129">
        <f t="shared" si="544"/>
        <v>15</v>
      </c>
      <c r="G6436" s="88"/>
    </row>
    <row r="6437" spans="1:7" x14ac:dyDescent="0.25">
      <c r="A6437" s="140" t="s">
        <v>21</v>
      </c>
      <c r="B6437" s="136">
        <v>44161</v>
      </c>
      <c r="C6437" s="4">
        <v>250</v>
      </c>
      <c r="D6437" s="29">
        <f t="shared" si="546"/>
        <v>18498</v>
      </c>
      <c r="E6437" s="4">
        <v>9</v>
      </c>
      <c r="F6437" s="129">
        <f t="shared" si="544"/>
        <v>543</v>
      </c>
      <c r="G6437" s="88"/>
    </row>
    <row r="6438" spans="1:7" x14ac:dyDescent="0.25">
      <c r="A6438" s="140" t="s">
        <v>36</v>
      </c>
      <c r="B6438" s="136">
        <v>44161</v>
      </c>
      <c r="C6438" s="4">
        <v>266</v>
      </c>
      <c r="D6438" s="29">
        <f t="shared" si="546"/>
        <v>22023</v>
      </c>
      <c r="E6438" s="4">
        <v>0</v>
      </c>
      <c r="F6438" s="129">
        <f t="shared" si="544"/>
        <v>362</v>
      </c>
      <c r="G6438" s="88"/>
    </row>
    <row r="6439" spans="1:7" x14ac:dyDescent="0.25">
      <c r="A6439" s="140" t="s">
        <v>27</v>
      </c>
      <c r="B6439" s="136">
        <v>44161</v>
      </c>
      <c r="C6439" s="4">
        <v>942</v>
      </c>
      <c r="D6439" s="29">
        <f t="shared" si="546"/>
        <v>111885</v>
      </c>
      <c r="E6439" s="4">
        <v>25</v>
      </c>
      <c r="F6439" s="129">
        <f t="shared" si="544"/>
        <v>1883</v>
      </c>
      <c r="G6439" s="88"/>
    </row>
    <row r="6440" spans="1:7" x14ac:dyDescent="0.25">
      <c r="A6440" s="140" t="s">
        <v>37</v>
      </c>
      <c r="B6440" s="136">
        <v>44161</v>
      </c>
      <c r="C6440" s="4">
        <v>150</v>
      </c>
      <c r="D6440" s="29">
        <f t="shared" si="546"/>
        <v>5284</v>
      </c>
      <c r="E6440" s="4">
        <v>0</v>
      </c>
      <c r="F6440" s="129">
        <f t="shared" si="544"/>
        <v>86</v>
      </c>
      <c r="G6440" s="88"/>
    </row>
    <row r="6441" spans="1:7" x14ac:dyDescent="0.25">
      <c r="A6441" s="140" t="s">
        <v>38</v>
      </c>
      <c r="B6441" s="136">
        <v>44161</v>
      </c>
      <c r="C6441" s="4">
        <v>288</v>
      </c>
      <c r="D6441" s="29">
        <f t="shared" si="546"/>
        <v>22555</v>
      </c>
      <c r="E6441" s="4">
        <v>9</v>
      </c>
      <c r="F6441" s="129">
        <f t="shared" si="544"/>
        <v>461</v>
      </c>
      <c r="G6441" s="88"/>
    </row>
    <row r="6442" spans="1:7" x14ac:dyDescent="0.25">
      <c r="A6442" s="140" t="s">
        <v>48</v>
      </c>
      <c r="B6442" s="136">
        <v>44161</v>
      </c>
      <c r="C6442" s="4">
        <v>0</v>
      </c>
      <c r="D6442" s="29">
        <f t="shared" si="546"/>
        <v>178</v>
      </c>
      <c r="E6442" s="4">
        <v>0</v>
      </c>
      <c r="F6442" s="129">
        <f t="shared" si="544"/>
        <v>3</v>
      </c>
      <c r="G6442" s="88"/>
    </row>
    <row r="6443" spans="1:7" x14ac:dyDescent="0.25">
      <c r="A6443" s="140" t="s">
        <v>39</v>
      </c>
      <c r="B6443" s="136">
        <v>44161</v>
      </c>
      <c r="C6443" s="4">
        <v>6</v>
      </c>
      <c r="D6443" s="29">
        <f t="shared" si="546"/>
        <v>18338</v>
      </c>
      <c r="E6443" s="4">
        <v>2</v>
      </c>
      <c r="F6443" s="129">
        <f t="shared" ref="F6443:F6506" si="547">E6443+F6419</f>
        <v>847</v>
      </c>
      <c r="G6443" s="88"/>
    </row>
    <row r="6444" spans="1:7" x14ac:dyDescent="0.25">
      <c r="A6444" s="140" t="s">
        <v>40</v>
      </c>
      <c r="B6444" s="136">
        <v>44161</v>
      </c>
      <c r="C6444" s="4">
        <v>81</v>
      </c>
      <c r="D6444" s="29">
        <f t="shared" si="546"/>
        <v>5484</v>
      </c>
      <c r="E6444" s="4">
        <v>0</v>
      </c>
      <c r="F6444" s="129">
        <f t="shared" si="547"/>
        <v>75</v>
      </c>
      <c r="G6444" s="88"/>
    </row>
    <row r="6445" spans="1:7" x14ac:dyDescent="0.25">
      <c r="A6445" s="140" t="s">
        <v>28</v>
      </c>
      <c r="B6445" s="136">
        <v>44161</v>
      </c>
      <c r="C6445" s="4">
        <v>13</v>
      </c>
      <c r="D6445" s="29">
        <f t="shared" si="546"/>
        <v>8601</v>
      </c>
      <c r="E6445" s="4">
        <v>4</v>
      </c>
      <c r="F6445" s="129">
        <f t="shared" si="547"/>
        <v>314</v>
      </c>
      <c r="G6445" s="88"/>
    </row>
    <row r="6446" spans="1:7" x14ac:dyDescent="0.25">
      <c r="A6446" s="140" t="s">
        <v>24</v>
      </c>
      <c r="B6446" s="136">
        <v>44161</v>
      </c>
      <c r="C6446" s="4">
        <v>202</v>
      </c>
      <c r="D6446" s="29">
        <f t="shared" si="546"/>
        <v>55966</v>
      </c>
      <c r="E6446" s="4">
        <v>20</v>
      </c>
      <c r="F6446" s="129">
        <f t="shared" si="547"/>
        <v>1100</v>
      </c>
      <c r="G6446" s="88"/>
    </row>
    <row r="6447" spans="1:7" x14ac:dyDescent="0.25">
      <c r="A6447" s="140" t="s">
        <v>30</v>
      </c>
      <c r="B6447" s="136">
        <v>44161</v>
      </c>
      <c r="C6447" s="4">
        <v>16</v>
      </c>
      <c r="D6447" s="29">
        <f t="shared" si="546"/>
        <v>482</v>
      </c>
      <c r="E6447" s="4">
        <v>0</v>
      </c>
      <c r="F6447" s="129">
        <f t="shared" si="547"/>
        <v>9</v>
      </c>
      <c r="G6447" s="88"/>
    </row>
    <row r="6448" spans="1:7" x14ac:dyDescent="0.25">
      <c r="A6448" s="140" t="s">
        <v>26</v>
      </c>
      <c r="B6448" s="136">
        <v>44161</v>
      </c>
      <c r="C6448" s="4">
        <v>361</v>
      </c>
      <c r="D6448" s="29">
        <f t="shared" si="546"/>
        <v>31259</v>
      </c>
      <c r="E6448" s="4">
        <v>2</v>
      </c>
      <c r="F6448" s="129">
        <f t="shared" si="547"/>
        <v>615</v>
      </c>
      <c r="G6448" s="88"/>
    </row>
    <row r="6449" spans="1:7" x14ac:dyDescent="0.25">
      <c r="A6449" s="140" t="s">
        <v>25</v>
      </c>
      <c r="B6449" s="136">
        <v>44161</v>
      </c>
      <c r="C6449" s="4">
        <v>336</v>
      </c>
      <c r="D6449" s="29">
        <f t="shared" si="546"/>
        <v>31068</v>
      </c>
      <c r="E6449" s="4">
        <v>5</v>
      </c>
      <c r="F6449" s="129">
        <f t="shared" si="547"/>
        <v>766</v>
      </c>
      <c r="G6449" s="88"/>
    </row>
    <row r="6450" spans="1:7" x14ac:dyDescent="0.25">
      <c r="A6450" s="140" t="s">
        <v>41</v>
      </c>
      <c r="B6450" s="136">
        <v>44161</v>
      </c>
      <c r="C6450" s="4">
        <v>77</v>
      </c>
      <c r="D6450" s="29">
        <f t="shared" si="546"/>
        <v>21029</v>
      </c>
      <c r="E6450" s="4">
        <v>6</v>
      </c>
      <c r="F6450" s="129">
        <f t="shared" si="547"/>
        <v>981</v>
      </c>
      <c r="G6450" s="88"/>
    </row>
    <row r="6451" spans="1:7" x14ac:dyDescent="0.25">
      <c r="A6451" s="140" t="s">
        <v>42</v>
      </c>
      <c r="B6451" s="136">
        <v>44161</v>
      </c>
      <c r="C6451" s="4">
        <v>226</v>
      </c>
      <c r="D6451" s="29">
        <f t="shared" si="546"/>
        <v>6948</v>
      </c>
      <c r="E6451" s="4">
        <v>0</v>
      </c>
      <c r="F6451" s="129">
        <f t="shared" si="547"/>
        <v>171</v>
      </c>
      <c r="G6451" s="88"/>
    </row>
    <row r="6452" spans="1:7" x14ac:dyDescent="0.25">
      <c r="A6452" s="140" t="s">
        <v>43</v>
      </c>
      <c r="B6452" s="136">
        <v>44161</v>
      </c>
      <c r="C6452" s="4">
        <v>256</v>
      </c>
      <c r="D6452" s="29">
        <f t="shared" si="546"/>
        <v>13828</v>
      </c>
      <c r="E6452" s="4">
        <v>13</v>
      </c>
      <c r="F6452" s="129">
        <f t="shared" si="547"/>
        <v>203</v>
      </c>
      <c r="G6452" s="88"/>
    </row>
    <row r="6453" spans="1:7" x14ac:dyDescent="0.25">
      <c r="A6453" s="140" t="s">
        <v>44</v>
      </c>
      <c r="B6453" s="136">
        <v>44161</v>
      </c>
      <c r="C6453" s="4">
        <v>236</v>
      </c>
      <c r="D6453" s="29">
        <f t="shared" si="546"/>
        <v>15080</v>
      </c>
      <c r="E6453" s="4">
        <v>7</v>
      </c>
      <c r="F6453" s="129">
        <f t="shared" si="547"/>
        <v>262</v>
      </c>
      <c r="G6453" s="88"/>
    </row>
    <row r="6454" spans="1:7" x14ac:dyDescent="0.25">
      <c r="A6454" s="140" t="s">
        <v>29</v>
      </c>
      <c r="B6454" s="136">
        <v>44161</v>
      </c>
      <c r="C6454" s="4">
        <v>1446</v>
      </c>
      <c r="D6454" s="29">
        <f t="shared" si="546"/>
        <v>143041</v>
      </c>
      <c r="E6454" s="4">
        <v>25</v>
      </c>
      <c r="F6454" s="129">
        <f t="shared" si="547"/>
        <v>2185</v>
      </c>
      <c r="G6454" s="88"/>
    </row>
    <row r="6455" spans="1:7" x14ac:dyDescent="0.25">
      <c r="A6455" s="140" t="s">
        <v>45</v>
      </c>
      <c r="B6455" s="136">
        <v>44161</v>
      </c>
      <c r="C6455" s="4">
        <v>272</v>
      </c>
      <c r="D6455" s="29">
        <f t="shared" si="546"/>
        <v>15140</v>
      </c>
      <c r="E6455" s="4">
        <v>5</v>
      </c>
      <c r="F6455" s="129">
        <f t="shared" si="547"/>
        <v>187</v>
      </c>
      <c r="G6455" s="88"/>
    </row>
    <row r="6456" spans="1:7" x14ac:dyDescent="0.25">
      <c r="A6456" s="140" t="s">
        <v>46</v>
      </c>
      <c r="B6456" s="136">
        <v>44161</v>
      </c>
      <c r="C6456" s="4">
        <v>153</v>
      </c>
      <c r="D6456" s="29">
        <f t="shared" si="546"/>
        <v>15854</v>
      </c>
      <c r="E6456" s="4">
        <v>3</v>
      </c>
      <c r="F6456" s="129">
        <f t="shared" si="547"/>
        <v>229</v>
      </c>
      <c r="G6456" s="88"/>
    </row>
    <row r="6457" spans="1:7" ht="15.75" thickBot="1" x14ac:dyDescent="0.3">
      <c r="A6457" s="142" t="s">
        <v>47</v>
      </c>
      <c r="B6457" s="138">
        <v>44161</v>
      </c>
      <c r="C6457" s="47">
        <v>491</v>
      </c>
      <c r="D6457" s="85">
        <f>C6457+D6433</f>
        <v>64792</v>
      </c>
      <c r="E6457" s="47">
        <v>15</v>
      </c>
      <c r="F6457" s="139">
        <f t="shared" si="547"/>
        <v>1141</v>
      </c>
      <c r="G6457" s="88"/>
    </row>
    <row r="6458" spans="1:7" x14ac:dyDescent="0.25">
      <c r="A6458" s="64" t="s">
        <v>22</v>
      </c>
      <c r="B6458" s="49">
        <v>44162</v>
      </c>
      <c r="C6458" s="50">
        <v>2124</v>
      </c>
      <c r="D6458" s="131">
        <f t="shared" si="546"/>
        <v>614872</v>
      </c>
      <c r="E6458" s="50">
        <v>138</v>
      </c>
      <c r="F6458" s="128">
        <f t="shared" si="547"/>
        <v>20455</v>
      </c>
    </row>
    <row r="6459" spans="1:7" x14ac:dyDescent="0.25">
      <c r="A6459" s="140" t="s">
        <v>20</v>
      </c>
      <c r="B6459" s="136">
        <v>44162</v>
      </c>
      <c r="C6459" s="4">
        <v>414</v>
      </c>
      <c r="D6459" s="29">
        <f t="shared" si="546"/>
        <v>157985</v>
      </c>
      <c r="E6459" s="4">
        <v>6</v>
      </c>
      <c r="F6459" s="129">
        <f t="shared" si="547"/>
        <v>5184</v>
      </c>
      <c r="G6459" s="88"/>
    </row>
    <row r="6460" spans="1:7" x14ac:dyDescent="0.25">
      <c r="A6460" s="140" t="s">
        <v>35</v>
      </c>
      <c r="B6460" s="136">
        <v>44162</v>
      </c>
      <c r="C6460" s="4">
        <v>3</v>
      </c>
      <c r="D6460" s="29">
        <f t="shared" si="546"/>
        <v>1782</v>
      </c>
      <c r="E6460" s="4">
        <v>0</v>
      </c>
      <c r="F6460" s="129">
        <f t="shared" si="547"/>
        <v>15</v>
      </c>
      <c r="G6460" s="88"/>
    </row>
    <row r="6461" spans="1:7" x14ac:dyDescent="0.25">
      <c r="A6461" s="140" t="s">
        <v>21</v>
      </c>
      <c r="B6461" s="136">
        <v>44162</v>
      </c>
      <c r="C6461" s="4">
        <v>258</v>
      </c>
      <c r="D6461" s="29">
        <f t="shared" si="546"/>
        <v>18756</v>
      </c>
      <c r="E6461" s="4">
        <v>5</v>
      </c>
      <c r="F6461" s="129">
        <f t="shared" si="547"/>
        <v>548</v>
      </c>
      <c r="G6461" s="88"/>
    </row>
    <row r="6462" spans="1:7" x14ac:dyDescent="0.25">
      <c r="A6462" s="140" t="s">
        <v>36</v>
      </c>
      <c r="B6462" s="136">
        <v>44162</v>
      </c>
      <c r="C6462" s="4">
        <v>264</v>
      </c>
      <c r="D6462" s="29">
        <f t="shared" si="546"/>
        <v>22287</v>
      </c>
      <c r="E6462" s="4">
        <v>9</v>
      </c>
      <c r="F6462" s="129">
        <f t="shared" si="547"/>
        <v>371</v>
      </c>
      <c r="G6462" s="88"/>
    </row>
    <row r="6463" spans="1:7" x14ac:dyDescent="0.25">
      <c r="A6463" s="140" t="s">
        <v>27</v>
      </c>
      <c r="B6463" s="136">
        <v>44162</v>
      </c>
      <c r="C6463" s="4">
        <v>834</v>
      </c>
      <c r="D6463" s="29">
        <f t="shared" si="546"/>
        <v>112719</v>
      </c>
      <c r="E6463" s="4">
        <v>36</v>
      </c>
      <c r="F6463" s="129">
        <f t="shared" si="547"/>
        <v>1919</v>
      </c>
      <c r="G6463" s="88"/>
    </row>
    <row r="6464" spans="1:7" x14ac:dyDescent="0.25">
      <c r="A6464" s="140" t="s">
        <v>37</v>
      </c>
      <c r="B6464" s="136">
        <v>44162</v>
      </c>
      <c r="C6464" s="4">
        <v>158</v>
      </c>
      <c r="D6464" s="29">
        <f t="shared" si="546"/>
        <v>5442</v>
      </c>
      <c r="E6464" s="4">
        <v>0</v>
      </c>
      <c r="F6464" s="129">
        <f t="shared" si="547"/>
        <v>86</v>
      </c>
      <c r="G6464" s="88"/>
    </row>
    <row r="6465" spans="1:7" x14ac:dyDescent="0.25">
      <c r="A6465" s="140" t="s">
        <v>38</v>
      </c>
      <c r="B6465" s="136">
        <v>44162</v>
      </c>
      <c r="C6465" s="4">
        <v>298</v>
      </c>
      <c r="D6465" s="29">
        <f t="shared" si="546"/>
        <v>22853</v>
      </c>
      <c r="E6465" s="4">
        <v>3</v>
      </c>
      <c r="F6465" s="129">
        <f t="shared" si="547"/>
        <v>464</v>
      </c>
      <c r="G6465" s="88"/>
    </row>
    <row r="6466" spans="1:7" x14ac:dyDescent="0.25">
      <c r="A6466" s="140" t="s">
        <v>48</v>
      </c>
      <c r="B6466" s="136">
        <v>44162</v>
      </c>
      <c r="C6466" s="4">
        <v>1</v>
      </c>
      <c r="D6466" s="29">
        <f t="shared" si="546"/>
        <v>179</v>
      </c>
      <c r="E6466" s="4">
        <v>0</v>
      </c>
      <c r="F6466" s="129">
        <f t="shared" si="547"/>
        <v>3</v>
      </c>
      <c r="G6466" s="88"/>
    </row>
    <row r="6467" spans="1:7" x14ac:dyDescent="0.25">
      <c r="A6467" s="140" t="s">
        <v>39</v>
      </c>
      <c r="B6467" s="136">
        <v>44162</v>
      </c>
      <c r="C6467" s="4">
        <v>22</v>
      </c>
      <c r="D6467" s="29">
        <f t="shared" si="546"/>
        <v>18360</v>
      </c>
      <c r="E6467" s="4">
        <v>1</v>
      </c>
      <c r="F6467" s="129">
        <f t="shared" si="547"/>
        <v>848</v>
      </c>
      <c r="G6467" s="88"/>
    </row>
    <row r="6468" spans="1:7" x14ac:dyDescent="0.25">
      <c r="A6468" s="140" t="s">
        <v>40</v>
      </c>
      <c r="B6468" s="136">
        <v>44162</v>
      </c>
      <c r="C6468" s="4">
        <v>105</v>
      </c>
      <c r="D6468" s="29">
        <f t="shared" si="546"/>
        <v>5589</v>
      </c>
      <c r="E6468" s="4">
        <v>0</v>
      </c>
      <c r="F6468" s="129">
        <f t="shared" si="547"/>
        <v>75</v>
      </c>
      <c r="G6468" s="88"/>
    </row>
    <row r="6469" spans="1:7" x14ac:dyDescent="0.25">
      <c r="A6469" s="140" t="s">
        <v>28</v>
      </c>
      <c r="B6469" s="136">
        <v>44162</v>
      </c>
      <c r="C6469" s="4">
        <v>29</v>
      </c>
      <c r="D6469" s="29">
        <f t="shared" si="546"/>
        <v>8630</v>
      </c>
      <c r="E6469" s="4">
        <v>2</v>
      </c>
      <c r="F6469" s="129">
        <f t="shared" si="547"/>
        <v>316</v>
      </c>
      <c r="G6469" s="88"/>
    </row>
    <row r="6470" spans="1:7" x14ac:dyDescent="0.25">
      <c r="A6470" s="140" t="s">
        <v>24</v>
      </c>
      <c r="B6470" s="136">
        <v>44162</v>
      </c>
      <c r="C6470" s="4">
        <v>202</v>
      </c>
      <c r="D6470" s="29">
        <f t="shared" si="546"/>
        <v>56168</v>
      </c>
      <c r="E6470" s="4">
        <v>5</v>
      </c>
      <c r="F6470" s="129">
        <f t="shared" si="547"/>
        <v>1105</v>
      </c>
      <c r="G6470" s="88"/>
    </row>
    <row r="6471" spans="1:7" x14ac:dyDescent="0.25">
      <c r="A6471" s="140" t="s">
        <v>30</v>
      </c>
      <c r="B6471" s="136">
        <v>44162</v>
      </c>
      <c r="C6471" s="4">
        <v>4</v>
      </c>
      <c r="D6471" s="29">
        <f t="shared" si="546"/>
        <v>486</v>
      </c>
      <c r="E6471" s="4">
        <v>0</v>
      </c>
      <c r="F6471" s="129">
        <f t="shared" si="547"/>
        <v>9</v>
      </c>
      <c r="G6471" s="88"/>
    </row>
    <row r="6472" spans="1:7" x14ac:dyDescent="0.25">
      <c r="A6472" s="140" t="s">
        <v>26</v>
      </c>
      <c r="B6472" s="136">
        <v>44162</v>
      </c>
      <c r="C6472" s="4">
        <v>204</v>
      </c>
      <c r="D6472" s="29">
        <f t="shared" si="546"/>
        <v>31463</v>
      </c>
      <c r="E6472" s="4">
        <v>0</v>
      </c>
      <c r="F6472" s="129">
        <f t="shared" si="547"/>
        <v>615</v>
      </c>
      <c r="G6472" s="88"/>
    </row>
    <row r="6473" spans="1:7" x14ac:dyDescent="0.25">
      <c r="A6473" s="140" t="s">
        <v>25</v>
      </c>
      <c r="B6473" s="136">
        <v>44162</v>
      </c>
      <c r="C6473" s="4">
        <v>202</v>
      </c>
      <c r="D6473" s="29">
        <f t="shared" si="546"/>
        <v>31270</v>
      </c>
      <c r="E6473" s="4">
        <v>3</v>
      </c>
      <c r="F6473" s="129">
        <f t="shared" si="547"/>
        <v>769</v>
      </c>
      <c r="G6473" s="88"/>
    </row>
    <row r="6474" spans="1:7" x14ac:dyDescent="0.25">
      <c r="A6474" s="140" t="s">
        <v>41</v>
      </c>
      <c r="B6474" s="136">
        <v>44162</v>
      </c>
      <c r="C6474" s="4">
        <v>51</v>
      </c>
      <c r="D6474" s="29">
        <f t="shared" ref="D6474:D6480" si="548">C6474+D6450</f>
        <v>21080</v>
      </c>
      <c r="E6474" s="4">
        <v>8</v>
      </c>
      <c r="F6474" s="129">
        <f t="shared" si="547"/>
        <v>989</v>
      </c>
      <c r="G6474" s="88"/>
    </row>
    <row r="6475" spans="1:7" x14ac:dyDescent="0.25">
      <c r="A6475" s="140" t="s">
        <v>42</v>
      </c>
      <c r="B6475" s="136">
        <v>44162</v>
      </c>
      <c r="C6475" s="4">
        <v>234</v>
      </c>
      <c r="D6475" s="29">
        <f t="shared" si="548"/>
        <v>7182</v>
      </c>
      <c r="E6475" s="4">
        <v>0</v>
      </c>
      <c r="F6475" s="129">
        <f t="shared" si="547"/>
        <v>171</v>
      </c>
      <c r="G6475" s="88"/>
    </row>
    <row r="6476" spans="1:7" x14ac:dyDescent="0.25">
      <c r="A6476" s="140" t="s">
        <v>43</v>
      </c>
      <c r="B6476" s="136">
        <v>44162</v>
      </c>
      <c r="C6476" s="4">
        <v>114</v>
      </c>
      <c r="D6476" s="29">
        <f t="shared" si="548"/>
        <v>13942</v>
      </c>
      <c r="E6476" s="4">
        <v>4</v>
      </c>
      <c r="F6476" s="129">
        <f t="shared" si="547"/>
        <v>207</v>
      </c>
      <c r="G6476" s="88"/>
    </row>
    <row r="6477" spans="1:7" x14ac:dyDescent="0.25">
      <c r="A6477" s="140" t="s">
        <v>44</v>
      </c>
      <c r="B6477" s="136">
        <v>44162</v>
      </c>
      <c r="C6477" s="4">
        <v>293</v>
      </c>
      <c r="D6477" s="29">
        <f t="shared" si="548"/>
        <v>15373</v>
      </c>
      <c r="E6477" s="4">
        <v>6</v>
      </c>
      <c r="F6477" s="129">
        <f t="shared" si="547"/>
        <v>268</v>
      </c>
      <c r="G6477" s="88"/>
    </row>
    <row r="6478" spans="1:7" x14ac:dyDescent="0.25">
      <c r="A6478" s="140" t="s">
        <v>29</v>
      </c>
      <c r="B6478" s="136">
        <v>44162</v>
      </c>
      <c r="C6478" s="4">
        <v>1390</v>
      </c>
      <c r="D6478" s="29">
        <f t="shared" si="548"/>
        <v>144431</v>
      </c>
      <c r="E6478" s="4">
        <v>22</v>
      </c>
      <c r="F6478" s="129">
        <f t="shared" si="547"/>
        <v>2207</v>
      </c>
      <c r="G6478" s="88"/>
    </row>
    <row r="6479" spans="1:7" x14ac:dyDescent="0.25">
      <c r="A6479" s="140" t="s">
        <v>45</v>
      </c>
      <c r="B6479" s="136">
        <v>44162</v>
      </c>
      <c r="C6479" s="4">
        <v>158</v>
      </c>
      <c r="D6479" s="29">
        <f t="shared" si="548"/>
        <v>15298</v>
      </c>
      <c r="E6479" s="4">
        <v>1</v>
      </c>
      <c r="F6479" s="129">
        <f t="shared" si="547"/>
        <v>188</v>
      </c>
      <c r="G6479" s="88"/>
    </row>
    <row r="6480" spans="1:7" x14ac:dyDescent="0.25">
      <c r="A6480" s="140" t="s">
        <v>46</v>
      </c>
      <c r="B6480" s="136">
        <v>44162</v>
      </c>
      <c r="C6480" s="4">
        <v>86</v>
      </c>
      <c r="D6480" s="29">
        <f t="shared" si="548"/>
        <v>15940</v>
      </c>
      <c r="E6480" s="4">
        <v>1</v>
      </c>
      <c r="F6480" s="129">
        <f t="shared" si="547"/>
        <v>230</v>
      </c>
      <c r="G6480" s="88"/>
    </row>
    <row r="6481" spans="1:7" ht="15.75" thickBot="1" x14ac:dyDescent="0.3">
      <c r="A6481" s="141" t="s">
        <v>47</v>
      </c>
      <c r="B6481" s="145">
        <v>44162</v>
      </c>
      <c r="C6481" s="54">
        <v>398</v>
      </c>
      <c r="D6481" s="132">
        <f>C6481+D6457</f>
        <v>65190</v>
      </c>
      <c r="E6481" s="54">
        <v>25</v>
      </c>
      <c r="F6481" s="130">
        <f t="shared" si="547"/>
        <v>1166</v>
      </c>
      <c r="G6481" s="88"/>
    </row>
    <row r="6482" spans="1:7" ht="15.75" thickBot="1" x14ac:dyDescent="0.3">
      <c r="A6482" s="64" t="s">
        <v>22</v>
      </c>
      <c r="B6482" s="145">
        <v>44163</v>
      </c>
      <c r="C6482" s="48">
        <v>1531</v>
      </c>
      <c r="D6482" s="131">
        <f t="shared" ref="D6482:D6545" si="549">C6482+D6458</f>
        <v>616403</v>
      </c>
      <c r="E6482" s="48">
        <v>61</v>
      </c>
      <c r="F6482" s="128">
        <f t="shared" si="547"/>
        <v>20516</v>
      </c>
    </row>
    <row r="6483" spans="1:7" ht="15.75" thickBot="1" x14ac:dyDescent="0.3">
      <c r="A6483" s="140" t="s">
        <v>20</v>
      </c>
      <c r="B6483" s="145">
        <v>44163</v>
      </c>
      <c r="C6483" s="4">
        <v>282</v>
      </c>
      <c r="D6483" s="29">
        <f t="shared" si="549"/>
        <v>158267</v>
      </c>
      <c r="E6483" s="4">
        <v>8</v>
      </c>
      <c r="F6483" s="129">
        <f t="shared" si="547"/>
        <v>5192</v>
      </c>
    </row>
    <row r="6484" spans="1:7" ht="15.75" thickBot="1" x14ac:dyDescent="0.3">
      <c r="A6484" s="140" t="s">
        <v>35</v>
      </c>
      <c r="B6484" s="145">
        <v>44163</v>
      </c>
      <c r="C6484" s="4">
        <v>31</v>
      </c>
      <c r="D6484" s="29">
        <f t="shared" si="549"/>
        <v>1813</v>
      </c>
      <c r="F6484" s="129">
        <f t="shared" si="547"/>
        <v>15</v>
      </c>
    </row>
    <row r="6485" spans="1:7" ht="15.75" thickBot="1" x14ac:dyDescent="0.3">
      <c r="A6485" s="140" t="s">
        <v>21</v>
      </c>
      <c r="B6485" s="145">
        <v>44163</v>
      </c>
      <c r="C6485" s="4">
        <v>202</v>
      </c>
      <c r="D6485" s="29">
        <f t="shared" si="549"/>
        <v>18958</v>
      </c>
      <c r="E6485" s="4">
        <v>5</v>
      </c>
      <c r="F6485" s="129">
        <f t="shared" si="547"/>
        <v>553</v>
      </c>
    </row>
    <row r="6486" spans="1:7" ht="15.75" thickBot="1" x14ac:dyDescent="0.3">
      <c r="A6486" s="140" t="s">
        <v>36</v>
      </c>
      <c r="B6486" s="145">
        <v>44163</v>
      </c>
      <c r="C6486" s="4">
        <v>230</v>
      </c>
      <c r="D6486" s="29">
        <f t="shared" si="549"/>
        <v>22517</v>
      </c>
      <c r="E6486" s="4">
        <v>2</v>
      </c>
      <c r="F6486" s="129">
        <f t="shared" si="547"/>
        <v>373</v>
      </c>
    </row>
    <row r="6487" spans="1:7" ht="15.75" thickBot="1" x14ac:dyDescent="0.3">
      <c r="A6487" s="140" t="s">
        <v>27</v>
      </c>
      <c r="B6487" s="145">
        <v>44163</v>
      </c>
      <c r="C6487" s="4">
        <v>711</v>
      </c>
      <c r="D6487" s="29">
        <f t="shared" si="549"/>
        <v>113430</v>
      </c>
      <c r="E6487" s="4">
        <v>10</v>
      </c>
      <c r="F6487" s="129">
        <f t="shared" si="547"/>
        <v>1929</v>
      </c>
    </row>
    <row r="6488" spans="1:7" ht="15.75" thickBot="1" x14ac:dyDescent="0.3">
      <c r="A6488" s="140" t="s">
        <v>37</v>
      </c>
      <c r="B6488" s="145">
        <v>44163</v>
      </c>
      <c r="C6488" s="4">
        <v>231</v>
      </c>
      <c r="D6488" s="29">
        <f t="shared" si="549"/>
        <v>5673</v>
      </c>
      <c r="F6488" s="129">
        <f t="shared" si="547"/>
        <v>86</v>
      </c>
    </row>
    <row r="6489" spans="1:7" ht="15.75" thickBot="1" x14ac:dyDescent="0.3">
      <c r="A6489" s="140" t="s">
        <v>38</v>
      </c>
      <c r="B6489" s="145">
        <v>44163</v>
      </c>
      <c r="C6489" s="4">
        <v>222</v>
      </c>
      <c r="D6489" s="29">
        <f t="shared" si="549"/>
        <v>23075</v>
      </c>
      <c r="F6489" s="129">
        <f t="shared" si="547"/>
        <v>464</v>
      </c>
    </row>
    <row r="6490" spans="1:7" ht="15.75" thickBot="1" x14ac:dyDescent="0.3">
      <c r="A6490" s="140" t="s">
        <v>48</v>
      </c>
      <c r="B6490" s="145">
        <v>44163</v>
      </c>
      <c r="C6490" s="4">
        <v>3</v>
      </c>
      <c r="D6490" s="29">
        <f t="shared" si="549"/>
        <v>182</v>
      </c>
      <c r="F6490" s="129">
        <f t="shared" si="547"/>
        <v>3</v>
      </c>
    </row>
    <row r="6491" spans="1:7" ht="15.75" thickBot="1" x14ac:dyDescent="0.3">
      <c r="A6491" s="140" t="s">
        <v>39</v>
      </c>
      <c r="B6491" s="145">
        <v>44163</v>
      </c>
      <c r="C6491" s="4">
        <v>8</v>
      </c>
      <c r="D6491" s="29">
        <f t="shared" si="549"/>
        <v>18368</v>
      </c>
      <c r="F6491" s="129">
        <f t="shared" si="547"/>
        <v>848</v>
      </c>
    </row>
    <row r="6492" spans="1:7" ht="15.75" thickBot="1" x14ac:dyDescent="0.3">
      <c r="A6492" s="140" t="s">
        <v>40</v>
      </c>
      <c r="B6492" s="145">
        <v>44163</v>
      </c>
      <c r="C6492" s="4">
        <v>60</v>
      </c>
      <c r="D6492" s="29">
        <f t="shared" si="549"/>
        <v>5649</v>
      </c>
      <c r="F6492" s="129">
        <f t="shared" si="547"/>
        <v>75</v>
      </c>
    </row>
    <row r="6493" spans="1:7" ht="15.75" thickBot="1" x14ac:dyDescent="0.3">
      <c r="A6493" s="140" t="s">
        <v>28</v>
      </c>
      <c r="B6493" s="145">
        <v>44163</v>
      </c>
      <c r="C6493" s="4">
        <v>38</v>
      </c>
      <c r="D6493" s="29">
        <f t="shared" si="549"/>
        <v>8668</v>
      </c>
      <c r="F6493" s="129">
        <f t="shared" si="547"/>
        <v>316</v>
      </c>
    </row>
    <row r="6494" spans="1:7" ht="15.75" thickBot="1" x14ac:dyDescent="0.3">
      <c r="A6494" s="140" t="s">
        <v>24</v>
      </c>
      <c r="B6494" s="145">
        <v>44163</v>
      </c>
      <c r="C6494" s="4">
        <v>180</v>
      </c>
      <c r="D6494" s="29">
        <f t="shared" si="549"/>
        <v>56348</v>
      </c>
      <c r="E6494" s="4">
        <v>1</v>
      </c>
      <c r="F6494" s="129">
        <f t="shared" si="547"/>
        <v>1106</v>
      </c>
    </row>
    <row r="6495" spans="1:7" ht="15.75" thickBot="1" x14ac:dyDescent="0.3">
      <c r="A6495" s="140" t="s">
        <v>30</v>
      </c>
      <c r="B6495" s="145">
        <v>44163</v>
      </c>
      <c r="C6495" s="4">
        <v>7</v>
      </c>
      <c r="D6495" s="29">
        <f t="shared" si="549"/>
        <v>493</v>
      </c>
      <c r="F6495" s="129">
        <f t="shared" si="547"/>
        <v>9</v>
      </c>
    </row>
    <row r="6496" spans="1:7" ht="15.75" thickBot="1" x14ac:dyDescent="0.3">
      <c r="A6496" s="140" t="s">
        <v>26</v>
      </c>
      <c r="B6496" s="145">
        <v>44163</v>
      </c>
      <c r="C6496" s="4">
        <v>255</v>
      </c>
      <c r="D6496" s="29">
        <f t="shared" si="549"/>
        <v>31718</v>
      </c>
      <c r="E6496" s="4">
        <v>1</v>
      </c>
      <c r="F6496" s="129">
        <f t="shared" si="547"/>
        <v>616</v>
      </c>
    </row>
    <row r="6497" spans="1:6" ht="15.75" thickBot="1" x14ac:dyDescent="0.3">
      <c r="A6497" s="140" t="s">
        <v>25</v>
      </c>
      <c r="B6497" s="145">
        <v>44163</v>
      </c>
      <c r="C6497" s="4">
        <v>143</v>
      </c>
      <c r="D6497" s="29">
        <f t="shared" si="549"/>
        <v>31413</v>
      </c>
      <c r="E6497" s="4">
        <v>4</v>
      </c>
      <c r="F6497" s="129">
        <f t="shared" si="547"/>
        <v>773</v>
      </c>
    </row>
    <row r="6498" spans="1:6" ht="15.75" thickBot="1" x14ac:dyDescent="0.3">
      <c r="A6498" s="140" t="s">
        <v>41</v>
      </c>
      <c r="B6498" s="145">
        <v>44163</v>
      </c>
      <c r="C6498" s="4">
        <v>32</v>
      </c>
      <c r="D6498" s="29">
        <f t="shared" si="549"/>
        <v>21112</v>
      </c>
      <c r="E6498" s="4">
        <v>2</v>
      </c>
      <c r="F6498" s="129">
        <f t="shared" si="547"/>
        <v>991</v>
      </c>
    </row>
    <row r="6499" spans="1:6" ht="15.75" thickBot="1" x14ac:dyDescent="0.3">
      <c r="A6499" s="140" t="s">
        <v>42</v>
      </c>
      <c r="B6499" s="145">
        <v>44163</v>
      </c>
      <c r="C6499" s="4">
        <v>72</v>
      </c>
      <c r="D6499" s="29">
        <f t="shared" si="549"/>
        <v>7254</v>
      </c>
      <c r="F6499" s="129">
        <f t="shared" si="547"/>
        <v>171</v>
      </c>
    </row>
    <row r="6500" spans="1:6" ht="15.75" thickBot="1" x14ac:dyDescent="0.3">
      <c r="A6500" s="140" t="s">
        <v>43</v>
      </c>
      <c r="B6500" s="145">
        <v>44163</v>
      </c>
      <c r="C6500" s="4">
        <v>154</v>
      </c>
      <c r="D6500" s="29">
        <f t="shared" si="549"/>
        <v>14096</v>
      </c>
      <c r="E6500" s="4">
        <v>1</v>
      </c>
      <c r="F6500" s="129">
        <f t="shared" si="547"/>
        <v>208</v>
      </c>
    </row>
    <row r="6501" spans="1:6" ht="15.75" thickBot="1" x14ac:dyDescent="0.3">
      <c r="A6501" s="140" t="s">
        <v>44</v>
      </c>
      <c r="B6501" s="145">
        <v>44163</v>
      </c>
      <c r="C6501" s="4">
        <v>188</v>
      </c>
      <c r="D6501" s="29">
        <f t="shared" si="549"/>
        <v>15561</v>
      </c>
      <c r="E6501" s="4">
        <v>1</v>
      </c>
      <c r="F6501" s="129">
        <f t="shared" si="547"/>
        <v>269</v>
      </c>
    </row>
    <row r="6502" spans="1:6" ht="15.75" thickBot="1" x14ac:dyDescent="0.3">
      <c r="A6502" s="140" t="s">
        <v>29</v>
      </c>
      <c r="B6502" s="145">
        <v>44163</v>
      </c>
      <c r="C6502" s="4">
        <v>1070</v>
      </c>
      <c r="D6502" s="29">
        <f t="shared" si="549"/>
        <v>145501</v>
      </c>
      <c r="E6502" s="4">
        <v>10</v>
      </c>
      <c r="F6502" s="129">
        <f t="shared" si="547"/>
        <v>2217</v>
      </c>
    </row>
    <row r="6503" spans="1:6" ht="15.75" thickBot="1" x14ac:dyDescent="0.3">
      <c r="A6503" s="140" t="s">
        <v>45</v>
      </c>
      <c r="B6503" s="145">
        <v>44163</v>
      </c>
      <c r="C6503" s="4">
        <v>141</v>
      </c>
      <c r="D6503" s="29">
        <f t="shared" si="549"/>
        <v>15439</v>
      </c>
      <c r="F6503" s="129">
        <f t="shared" si="547"/>
        <v>188</v>
      </c>
    </row>
    <row r="6504" spans="1:6" ht="15.75" thickBot="1" x14ac:dyDescent="0.3">
      <c r="A6504" s="140" t="s">
        <v>46</v>
      </c>
      <c r="B6504" s="145">
        <v>44163</v>
      </c>
      <c r="C6504" s="4">
        <v>67</v>
      </c>
      <c r="D6504" s="29">
        <f t="shared" si="549"/>
        <v>16007</v>
      </c>
      <c r="F6504" s="129">
        <f t="shared" si="547"/>
        <v>230</v>
      </c>
    </row>
    <row r="6505" spans="1:6" ht="15.75" thickBot="1" x14ac:dyDescent="0.3">
      <c r="A6505" s="141" t="s">
        <v>47</v>
      </c>
      <c r="B6505" s="145">
        <v>44163</v>
      </c>
      <c r="C6505" s="4">
        <v>240</v>
      </c>
      <c r="D6505" s="132">
        <f>C6505+D6481</f>
        <v>65430</v>
      </c>
      <c r="F6505" s="130">
        <f t="shared" si="547"/>
        <v>1166</v>
      </c>
    </row>
    <row r="6506" spans="1:6" ht="15.75" thickBot="1" x14ac:dyDescent="0.3">
      <c r="A6506" s="61" t="s">
        <v>22</v>
      </c>
      <c r="B6506" s="145">
        <v>44164</v>
      </c>
      <c r="C6506" s="4">
        <v>868</v>
      </c>
      <c r="D6506" s="131">
        <f t="shared" si="549"/>
        <v>617271</v>
      </c>
      <c r="E6506" s="4">
        <f>34+36</f>
        <v>70</v>
      </c>
      <c r="F6506" s="128">
        <f t="shared" si="547"/>
        <v>20586</v>
      </c>
    </row>
    <row r="6507" spans="1:6" ht="15.75" thickBot="1" x14ac:dyDescent="0.3">
      <c r="A6507" s="61" t="s">
        <v>20</v>
      </c>
      <c r="B6507" s="145">
        <v>44164</v>
      </c>
      <c r="C6507" s="4">
        <v>217</v>
      </c>
      <c r="D6507" s="29">
        <f t="shared" si="549"/>
        <v>158484</v>
      </c>
      <c r="E6507" s="4">
        <f>2+4</f>
        <v>6</v>
      </c>
      <c r="F6507" s="129">
        <f t="shared" ref="F6507:F6570" si="550">E6507+F6483</f>
        <v>5198</v>
      </c>
    </row>
    <row r="6508" spans="1:6" ht="15.75" thickBot="1" x14ac:dyDescent="0.3">
      <c r="A6508" s="61" t="s">
        <v>35</v>
      </c>
      <c r="B6508" s="145">
        <v>44164</v>
      </c>
      <c r="C6508" s="4">
        <v>37</v>
      </c>
      <c r="D6508" s="29">
        <f t="shared" si="549"/>
        <v>1850</v>
      </c>
      <c r="F6508" s="129">
        <f t="shared" si="550"/>
        <v>15</v>
      </c>
    </row>
    <row r="6509" spans="1:6" ht="15.75" thickBot="1" x14ac:dyDescent="0.3">
      <c r="A6509" s="61" t="s">
        <v>21</v>
      </c>
      <c r="B6509" s="145">
        <v>44164</v>
      </c>
      <c r="C6509" s="4">
        <v>163</v>
      </c>
      <c r="D6509" s="29">
        <f t="shared" si="549"/>
        <v>19121</v>
      </c>
      <c r="E6509" s="4">
        <f>1+3</f>
        <v>4</v>
      </c>
      <c r="F6509" s="129">
        <f t="shared" si="550"/>
        <v>557</v>
      </c>
    </row>
    <row r="6510" spans="1:6" ht="15.75" thickBot="1" x14ac:dyDescent="0.3">
      <c r="A6510" s="61" t="s">
        <v>36</v>
      </c>
      <c r="B6510" s="145">
        <v>44164</v>
      </c>
      <c r="C6510" s="4">
        <v>114</v>
      </c>
      <c r="D6510" s="29">
        <f t="shared" si="549"/>
        <v>22631</v>
      </c>
      <c r="E6510" s="4">
        <f>1+2</f>
        <v>3</v>
      </c>
      <c r="F6510" s="129">
        <f t="shared" si="550"/>
        <v>376</v>
      </c>
    </row>
    <row r="6511" spans="1:6" ht="15.75" thickBot="1" x14ac:dyDescent="0.3">
      <c r="A6511" s="61" t="s">
        <v>27</v>
      </c>
      <c r="B6511" s="145">
        <v>44164</v>
      </c>
      <c r="C6511" s="4">
        <v>427</v>
      </c>
      <c r="D6511" s="29">
        <f t="shared" si="549"/>
        <v>113857</v>
      </c>
      <c r="E6511" s="4">
        <f>12+9</f>
        <v>21</v>
      </c>
      <c r="F6511" s="129">
        <f t="shared" si="550"/>
        <v>1950</v>
      </c>
    </row>
    <row r="6512" spans="1:6" ht="15.75" thickBot="1" x14ac:dyDescent="0.3">
      <c r="A6512" s="61" t="s">
        <v>37</v>
      </c>
      <c r="B6512" s="145">
        <v>44164</v>
      </c>
      <c r="C6512" s="4">
        <v>1130</v>
      </c>
      <c r="D6512" s="29">
        <f t="shared" si="549"/>
        <v>6803</v>
      </c>
      <c r="F6512" s="129">
        <f t="shared" si="550"/>
        <v>86</v>
      </c>
    </row>
    <row r="6513" spans="1:6" ht="15.75" thickBot="1" x14ac:dyDescent="0.3">
      <c r="A6513" s="61" t="s">
        <v>38</v>
      </c>
      <c r="B6513" s="145">
        <v>44164</v>
      </c>
      <c r="C6513" s="4">
        <v>174</v>
      </c>
      <c r="D6513" s="29">
        <f t="shared" si="549"/>
        <v>23249</v>
      </c>
      <c r="E6513" s="4">
        <f>1</f>
        <v>1</v>
      </c>
      <c r="F6513" s="129">
        <f t="shared" si="550"/>
        <v>465</v>
      </c>
    </row>
    <row r="6514" spans="1:6" ht="15.75" thickBot="1" x14ac:dyDescent="0.3">
      <c r="A6514" s="61" t="s">
        <v>48</v>
      </c>
      <c r="B6514" s="145">
        <v>44164</v>
      </c>
      <c r="C6514" s="4">
        <v>0</v>
      </c>
      <c r="D6514" s="29">
        <f t="shared" si="549"/>
        <v>182</v>
      </c>
      <c r="F6514" s="129">
        <f t="shared" si="550"/>
        <v>3</v>
      </c>
    </row>
    <row r="6515" spans="1:6" ht="15.75" thickBot="1" x14ac:dyDescent="0.3">
      <c r="A6515" s="61" t="s">
        <v>39</v>
      </c>
      <c r="B6515" s="145">
        <v>44164</v>
      </c>
      <c r="C6515" s="4">
        <v>2</v>
      </c>
      <c r="D6515" s="29">
        <f t="shared" si="549"/>
        <v>18370</v>
      </c>
      <c r="F6515" s="129">
        <f t="shared" si="550"/>
        <v>848</v>
      </c>
    </row>
    <row r="6516" spans="1:6" ht="15.75" thickBot="1" x14ac:dyDescent="0.3">
      <c r="A6516" s="61" t="s">
        <v>40</v>
      </c>
      <c r="B6516" s="145">
        <v>44164</v>
      </c>
      <c r="C6516" s="4">
        <v>61</v>
      </c>
      <c r="D6516" s="29">
        <f t="shared" si="549"/>
        <v>5710</v>
      </c>
      <c r="F6516" s="129">
        <f t="shared" si="550"/>
        <v>75</v>
      </c>
    </row>
    <row r="6517" spans="1:6" ht="15.75" thickBot="1" x14ac:dyDescent="0.3">
      <c r="A6517" s="61" t="s">
        <v>28</v>
      </c>
      <c r="B6517" s="145">
        <v>44164</v>
      </c>
      <c r="C6517" s="4">
        <v>26</v>
      </c>
      <c r="D6517" s="29">
        <f t="shared" si="549"/>
        <v>8694</v>
      </c>
      <c r="F6517" s="129">
        <f t="shared" si="550"/>
        <v>316</v>
      </c>
    </row>
    <row r="6518" spans="1:6" ht="15.75" thickBot="1" x14ac:dyDescent="0.3">
      <c r="A6518" s="61" t="s">
        <v>24</v>
      </c>
      <c r="B6518" s="145">
        <v>44164</v>
      </c>
      <c r="C6518" s="4">
        <v>47</v>
      </c>
      <c r="D6518" s="29">
        <f t="shared" si="549"/>
        <v>56395</v>
      </c>
      <c r="E6518" s="4">
        <f>1</f>
        <v>1</v>
      </c>
      <c r="F6518" s="129">
        <f t="shared" si="550"/>
        <v>1107</v>
      </c>
    </row>
    <row r="6519" spans="1:6" ht="15.75" thickBot="1" x14ac:dyDescent="0.3">
      <c r="A6519" s="61" t="s">
        <v>30</v>
      </c>
      <c r="B6519" s="145">
        <v>44164</v>
      </c>
      <c r="C6519" s="4">
        <v>2</v>
      </c>
      <c r="D6519" s="29">
        <f t="shared" si="549"/>
        <v>495</v>
      </c>
      <c r="F6519" s="129">
        <f t="shared" si="550"/>
        <v>9</v>
      </c>
    </row>
    <row r="6520" spans="1:6" ht="15.75" thickBot="1" x14ac:dyDescent="0.3">
      <c r="A6520" s="61" t="s">
        <v>26</v>
      </c>
      <c r="B6520" s="145">
        <v>44164</v>
      </c>
      <c r="C6520" s="4">
        <v>122</v>
      </c>
      <c r="D6520" s="29">
        <f t="shared" si="549"/>
        <v>31840</v>
      </c>
      <c r="E6520" s="4">
        <f>3+2</f>
        <v>5</v>
      </c>
      <c r="F6520" s="129">
        <f t="shared" si="550"/>
        <v>621</v>
      </c>
    </row>
    <row r="6521" spans="1:6" ht="15.75" thickBot="1" x14ac:dyDescent="0.3">
      <c r="A6521" s="61" t="s">
        <v>25</v>
      </c>
      <c r="B6521" s="145">
        <v>44164</v>
      </c>
      <c r="C6521" s="4">
        <v>108</v>
      </c>
      <c r="D6521" s="29">
        <f t="shared" si="549"/>
        <v>31521</v>
      </c>
      <c r="E6521" s="4">
        <f>2</f>
        <v>2</v>
      </c>
      <c r="F6521" s="129">
        <f t="shared" si="550"/>
        <v>775</v>
      </c>
    </row>
    <row r="6522" spans="1:6" ht="15.75" thickBot="1" x14ac:dyDescent="0.3">
      <c r="A6522" s="61" t="s">
        <v>41</v>
      </c>
      <c r="B6522" s="145">
        <v>44164</v>
      </c>
      <c r="C6522" s="4">
        <v>28</v>
      </c>
      <c r="D6522" s="29">
        <f t="shared" si="549"/>
        <v>21140</v>
      </c>
      <c r="E6522" s="4">
        <v>1</v>
      </c>
      <c r="F6522" s="129">
        <f t="shared" si="550"/>
        <v>992</v>
      </c>
    </row>
    <row r="6523" spans="1:6" ht="15.75" thickBot="1" x14ac:dyDescent="0.3">
      <c r="A6523" s="61" t="s">
        <v>42</v>
      </c>
      <c r="B6523" s="145">
        <v>44164</v>
      </c>
      <c r="C6523" s="4">
        <v>65</v>
      </c>
      <c r="D6523" s="29">
        <f t="shared" si="549"/>
        <v>7319</v>
      </c>
      <c r="F6523" s="129">
        <f t="shared" si="550"/>
        <v>171</v>
      </c>
    </row>
    <row r="6524" spans="1:6" ht="15.75" thickBot="1" x14ac:dyDescent="0.3">
      <c r="A6524" s="61" t="s">
        <v>43</v>
      </c>
      <c r="B6524" s="145">
        <v>44164</v>
      </c>
      <c r="C6524" s="4">
        <v>192</v>
      </c>
      <c r="D6524" s="29">
        <f t="shared" si="549"/>
        <v>14288</v>
      </c>
      <c r="E6524" s="4">
        <f>2+2</f>
        <v>4</v>
      </c>
      <c r="F6524" s="129">
        <f t="shared" si="550"/>
        <v>212</v>
      </c>
    </row>
    <row r="6525" spans="1:6" ht="15.75" thickBot="1" x14ac:dyDescent="0.3">
      <c r="A6525" s="61" t="s">
        <v>44</v>
      </c>
      <c r="B6525" s="145">
        <v>44164</v>
      </c>
      <c r="C6525" s="4">
        <v>211</v>
      </c>
      <c r="D6525" s="29">
        <f t="shared" si="549"/>
        <v>15772</v>
      </c>
      <c r="E6525" s="4">
        <f>4</f>
        <v>4</v>
      </c>
      <c r="F6525" s="129">
        <f t="shared" si="550"/>
        <v>273</v>
      </c>
    </row>
    <row r="6526" spans="1:6" ht="15.75" thickBot="1" x14ac:dyDescent="0.3">
      <c r="A6526" s="61" t="s">
        <v>29</v>
      </c>
      <c r="B6526" s="145">
        <v>44164</v>
      </c>
      <c r="C6526" s="4">
        <v>1004</v>
      </c>
      <c r="D6526" s="29">
        <f t="shared" si="549"/>
        <v>146505</v>
      </c>
      <c r="E6526" s="4">
        <f>11+7</f>
        <v>18</v>
      </c>
      <c r="F6526" s="129">
        <f t="shared" si="550"/>
        <v>2235</v>
      </c>
    </row>
    <row r="6527" spans="1:6" ht="15.75" thickBot="1" x14ac:dyDescent="0.3">
      <c r="A6527" s="61" t="s">
        <v>45</v>
      </c>
      <c r="B6527" s="145">
        <v>44164</v>
      </c>
      <c r="C6527" s="4">
        <v>151</v>
      </c>
      <c r="D6527" s="29">
        <f t="shared" si="549"/>
        <v>15590</v>
      </c>
      <c r="F6527" s="129">
        <f t="shared" si="550"/>
        <v>188</v>
      </c>
    </row>
    <row r="6528" spans="1:6" ht="15.75" thickBot="1" x14ac:dyDescent="0.3">
      <c r="A6528" s="61" t="s">
        <v>46</v>
      </c>
      <c r="B6528" s="145">
        <v>44164</v>
      </c>
      <c r="C6528" s="4">
        <v>83</v>
      </c>
      <c r="D6528" s="29">
        <f t="shared" si="549"/>
        <v>16090</v>
      </c>
      <c r="F6528" s="129">
        <f t="shared" si="550"/>
        <v>230</v>
      </c>
    </row>
    <row r="6529" spans="1:7" ht="15.75" thickBot="1" x14ac:dyDescent="0.3">
      <c r="A6529" s="61" t="s">
        <v>47</v>
      </c>
      <c r="B6529" s="145">
        <v>44164</v>
      </c>
      <c r="C6529" s="4">
        <v>200</v>
      </c>
      <c r="D6529" s="132">
        <f>C6529+D6505</f>
        <v>65630</v>
      </c>
      <c r="E6529" s="4">
        <f>5+6</f>
        <v>11</v>
      </c>
      <c r="F6529" s="130">
        <f t="shared" si="550"/>
        <v>1177</v>
      </c>
    </row>
    <row r="6530" spans="1:7" ht="15.75" thickBot="1" x14ac:dyDescent="0.3">
      <c r="A6530" s="61" t="s">
        <v>22</v>
      </c>
      <c r="B6530" s="145">
        <v>44165</v>
      </c>
      <c r="C6530" s="4">
        <v>1455</v>
      </c>
      <c r="D6530" s="131">
        <f t="shared" si="549"/>
        <v>618726</v>
      </c>
      <c r="E6530" s="4">
        <v>136</v>
      </c>
      <c r="F6530" s="128">
        <f t="shared" si="550"/>
        <v>20722</v>
      </c>
      <c r="G6530" s="88"/>
    </row>
    <row r="6531" spans="1:7" ht="15.75" thickBot="1" x14ac:dyDescent="0.3">
      <c r="A6531" s="61" t="s">
        <v>20</v>
      </c>
      <c r="B6531" s="145">
        <v>44165</v>
      </c>
      <c r="C6531" s="4">
        <v>321</v>
      </c>
      <c r="D6531" s="29">
        <f t="shared" si="549"/>
        <v>158805</v>
      </c>
      <c r="E6531" s="4">
        <v>15</v>
      </c>
      <c r="F6531" s="129">
        <f t="shared" si="550"/>
        <v>5213</v>
      </c>
      <c r="G6531" s="88"/>
    </row>
    <row r="6532" spans="1:7" ht="15.75" thickBot="1" x14ac:dyDescent="0.3">
      <c r="A6532" s="61" t="s">
        <v>35</v>
      </c>
      <c r="B6532" s="145">
        <v>44165</v>
      </c>
      <c r="C6532" s="4">
        <v>17</v>
      </c>
      <c r="D6532" s="29">
        <f t="shared" si="549"/>
        <v>1867</v>
      </c>
      <c r="E6532" s="4">
        <v>0</v>
      </c>
      <c r="F6532" s="129">
        <f t="shared" si="550"/>
        <v>15</v>
      </c>
      <c r="G6532" s="88"/>
    </row>
    <row r="6533" spans="1:7" ht="15.75" thickBot="1" x14ac:dyDescent="0.3">
      <c r="A6533" s="61" t="s">
        <v>21</v>
      </c>
      <c r="B6533" s="145">
        <v>44165</v>
      </c>
      <c r="C6533" s="4">
        <v>236</v>
      </c>
      <c r="D6533" s="29">
        <f t="shared" si="549"/>
        <v>19357</v>
      </c>
      <c r="E6533" s="4">
        <v>5</v>
      </c>
      <c r="F6533" s="129">
        <f t="shared" si="550"/>
        <v>562</v>
      </c>
      <c r="G6533" s="88"/>
    </row>
    <row r="6534" spans="1:7" ht="15.75" thickBot="1" x14ac:dyDescent="0.3">
      <c r="A6534" s="61" t="s">
        <v>36</v>
      </c>
      <c r="B6534" s="145">
        <v>44165</v>
      </c>
      <c r="C6534" s="4">
        <v>220</v>
      </c>
      <c r="D6534" s="29">
        <f t="shared" si="549"/>
        <v>22851</v>
      </c>
      <c r="E6534" s="4">
        <v>1</v>
      </c>
      <c r="F6534" s="129">
        <f t="shared" si="550"/>
        <v>377</v>
      </c>
      <c r="G6534" s="88"/>
    </row>
    <row r="6535" spans="1:7" ht="15.75" thickBot="1" x14ac:dyDescent="0.3">
      <c r="A6535" s="61" t="s">
        <v>27</v>
      </c>
      <c r="B6535" s="145">
        <v>44165</v>
      </c>
      <c r="C6535" s="4">
        <v>350</v>
      </c>
      <c r="D6535" s="29">
        <f t="shared" si="549"/>
        <v>114207</v>
      </c>
      <c r="E6535" s="4">
        <v>22</v>
      </c>
      <c r="F6535" s="129">
        <f t="shared" si="550"/>
        <v>1972</v>
      </c>
      <c r="G6535" s="88"/>
    </row>
    <row r="6536" spans="1:7" ht="15.75" thickBot="1" x14ac:dyDescent="0.3">
      <c r="A6536" s="61" t="s">
        <v>37</v>
      </c>
      <c r="B6536" s="145">
        <v>44165</v>
      </c>
      <c r="C6536" s="4">
        <v>295</v>
      </c>
      <c r="D6536" s="29">
        <f t="shared" si="549"/>
        <v>7098</v>
      </c>
      <c r="E6536" s="4">
        <v>0</v>
      </c>
      <c r="F6536" s="129">
        <f t="shared" si="550"/>
        <v>86</v>
      </c>
      <c r="G6536" s="88"/>
    </row>
    <row r="6537" spans="1:7" ht="15.75" thickBot="1" x14ac:dyDescent="0.3">
      <c r="A6537" s="61" t="s">
        <v>38</v>
      </c>
      <c r="B6537" s="145">
        <v>44165</v>
      </c>
      <c r="C6537" s="4">
        <v>116</v>
      </c>
      <c r="D6537" s="29">
        <f t="shared" si="549"/>
        <v>23365</v>
      </c>
      <c r="E6537" s="4">
        <v>4</v>
      </c>
      <c r="F6537" s="129">
        <f t="shared" si="550"/>
        <v>469</v>
      </c>
      <c r="G6537" s="88"/>
    </row>
    <row r="6538" spans="1:7" ht="15.75" thickBot="1" x14ac:dyDescent="0.3">
      <c r="A6538" s="61" t="s">
        <v>48</v>
      </c>
      <c r="B6538" s="145">
        <v>44165</v>
      </c>
      <c r="C6538" s="4">
        <v>0</v>
      </c>
      <c r="D6538" s="29">
        <f t="shared" si="549"/>
        <v>182</v>
      </c>
      <c r="E6538" s="4">
        <v>0</v>
      </c>
      <c r="F6538" s="129">
        <f t="shared" si="550"/>
        <v>3</v>
      </c>
      <c r="G6538" s="88"/>
    </row>
    <row r="6539" spans="1:7" ht="15.75" thickBot="1" x14ac:dyDescent="0.3">
      <c r="A6539" s="61" t="s">
        <v>39</v>
      </c>
      <c r="B6539" s="145">
        <v>44165</v>
      </c>
      <c r="C6539" s="4">
        <v>11</v>
      </c>
      <c r="D6539" s="29">
        <f t="shared" si="549"/>
        <v>18381</v>
      </c>
      <c r="E6539" s="4">
        <v>0</v>
      </c>
      <c r="F6539" s="129">
        <f t="shared" si="550"/>
        <v>848</v>
      </c>
      <c r="G6539" s="88"/>
    </row>
    <row r="6540" spans="1:7" ht="15.75" thickBot="1" x14ac:dyDescent="0.3">
      <c r="A6540" s="61" t="s">
        <v>40</v>
      </c>
      <c r="B6540" s="145">
        <v>44165</v>
      </c>
      <c r="C6540" s="4">
        <v>60</v>
      </c>
      <c r="D6540" s="29">
        <f t="shared" si="549"/>
        <v>5770</v>
      </c>
      <c r="E6540" s="4">
        <v>8</v>
      </c>
      <c r="F6540" s="129">
        <f t="shared" si="550"/>
        <v>83</v>
      </c>
      <c r="G6540" s="88"/>
    </row>
    <row r="6541" spans="1:7" ht="15.75" thickBot="1" x14ac:dyDescent="0.3">
      <c r="A6541" s="61" t="s">
        <v>28</v>
      </c>
      <c r="B6541" s="145">
        <v>44165</v>
      </c>
      <c r="C6541" s="4">
        <v>28</v>
      </c>
      <c r="D6541" s="29">
        <f t="shared" si="549"/>
        <v>8722</v>
      </c>
      <c r="E6541" s="4">
        <v>0</v>
      </c>
      <c r="F6541" s="129">
        <f t="shared" si="550"/>
        <v>316</v>
      </c>
      <c r="G6541" s="88"/>
    </row>
    <row r="6542" spans="1:7" ht="15.75" thickBot="1" x14ac:dyDescent="0.3">
      <c r="A6542" s="61" t="s">
        <v>24</v>
      </c>
      <c r="B6542" s="145">
        <v>44165</v>
      </c>
      <c r="C6542" s="4">
        <v>151</v>
      </c>
      <c r="D6542" s="29">
        <f t="shared" si="549"/>
        <v>56546</v>
      </c>
      <c r="E6542" s="4">
        <v>1</v>
      </c>
      <c r="F6542" s="129">
        <f t="shared" si="550"/>
        <v>1108</v>
      </c>
      <c r="G6542" s="88"/>
    </row>
    <row r="6543" spans="1:7" ht="15.75" thickBot="1" x14ac:dyDescent="0.3">
      <c r="A6543" s="61" t="s">
        <v>30</v>
      </c>
      <c r="B6543" s="145">
        <v>44165</v>
      </c>
      <c r="C6543" s="4">
        <v>5</v>
      </c>
      <c r="D6543" s="29">
        <f t="shared" si="549"/>
        <v>500</v>
      </c>
      <c r="E6543" s="4">
        <v>0</v>
      </c>
      <c r="F6543" s="129">
        <f t="shared" si="550"/>
        <v>9</v>
      </c>
      <c r="G6543" s="88"/>
    </row>
    <row r="6544" spans="1:7" ht="15.75" thickBot="1" x14ac:dyDescent="0.3">
      <c r="A6544" s="61" t="s">
        <v>26</v>
      </c>
      <c r="B6544" s="145">
        <v>44165</v>
      </c>
      <c r="C6544" s="4">
        <v>228</v>
      </c>
      <c r="D6544" s="29">
        <f t="shared" si="549"/>
        <v>32068</v>
      </c>
      <c r="E6544" s="4">
        <v>0</v>
      </c>
      <c r="F6544" s="129">
        <f t="shared" si="550"/>
        <v>621</v>
      </c>
      <c r="G6544" s="88"/>
    </row>
    <row r="6545" spans="1:9" ht="15.75" thickBot="1" x14ac:dyDescent="0.3">
      <c r="A6545" s="61" t="s">
        <v>25</v>
      </c>
      <c r="B6545" s="145">
        <v>44165</v>
      </c>
      <c r="C6545" s="4">
        <v>184</v>
      </c>
      <c r="D6545" s="29">
        <f t="shared" si="549"/>
        <v>31705</v>
      </c>
      <c r="E6545" s="4">
        <v>5</v>
      </c>
      <c r="F6545" s="129">
        <f t="shared" si="550"/>
        <v>780</v>
      </c>
      <c r="G6545" s="88"/>
    </row>
    <row r="6546" spans="1:9" ht="15.75" thickBot="1" x14ac:dyDescent="0.3">
      <c r="A6546" s="61" t="s">
        <v>41</v>
      </c>
      <c r="B6546" s="145">
        <v>44165</v>
      </c>
      <c r="C6546" s="4">
        <v>19</v>
      </c>
      <c r="D6546" s="29">
        <f t="shared" ref="D6546:D6552" si="551">C6546+D6522</f>
        <v>21159</v>
      </c>
      <c r="E6546" s="4">
        <v>3</v>
      </c>
      <c r="F6546" s="129">
        <f t="shared" si="550"/>
        <v>995</v>
      </c>
      <c r="G6546" s="88"/>
    </row>
    <row r="6547" spans="1:9" ht="15.75" thickBot="1" x14ac:dyDescent="0.3">
      <c r="A6547" s="61" t="s">
        <v>42</v>
      </c>
      <c r="B6547" s="145">
        <v>44165</v>
      </c>
      <c r="C6547" s="4">
        <v>147</v>
      </c>
      <c r="D6547" s="29">
        <f t="shared" si="551"/>
        <v>7466</v>
      </c>
      <c r="E6547" s="4">
        <v>0</v>
      </c>
      <c r="F6547" s="129">
        <f t="shared" si="550"/>
        <v>171</v>
      </c>
      <c r="G6547" s="88"/>
    </row>
    <row r="6548" spans="1:9" ht="15.75" thickBot="1" x14ac:dyDescent="0.3">
      <c r="A6548" s="61" t="s">
        <v>43</v>
      </c>
      <c r="B6548" s="145">
        <v>44165</v>
      </c>
      <c r="C6548" s="4">
        <v>167</v>
      </c>
      <c r="D6548" s="29">
        <f t="shared" si="551"/>
        <v>14455</v>
      </c>
      <c r="E6548" s="4">
        <v>0</v>
      </c>
      <c r="F6548" s="129">
        <f t="shared" si="550"/>
        <v>212</v>
      </c>
      <c r="G6548" s="88"/>
    </row>
    <row r="6549" spans="1:9" ht="15.75" thickBot="1" x14ac:dyDescent="0.3">
      <c r="A6549" s="61" t="s">
        <v>44</v>
      </c>
      <c r="B6549" s="145">
        <v>44165</v>
      </c>
      <c r="C6549" s="4">
        <v>154</v>
      </c>
      <c r="D6549" s="29">
        <f t="shared" si="551"/>
        <v>15926</v>
      </c>
      <c r="E6549" s="4">
        <v>2</v>
      </c>
      <c r="F6549" s="129">
        <f t="shared" si="550"/>
        <v>275</v>
      </c>
      <c r="G6549" s="88"/>
    </row>
    <row r="6550" spans="1:9" ht="15.75" thickBot="1" x14ac:dyDescent="0.3">
      <c r="A6550" s="61" t="s">
        <v>29</v>
      </c>
      <c r="B6550" s="145">
        <v>44165</v>
      </c>
      <c r="C6550" s="4">
        <v>1115</v>
      </c>
      <c r="D6550" s="29">
        <f t="shared" si="551"/>
        <v>147620</v>
      </c>
      <c r="E6550" s="4">
        <v>44</v>
      </c>
      <c r="F6550" s="129">
        <f t="shared" si="550"/>
        <v>2279</v>
      </c>
      <c r="G6550" s="88"/>
    </row>
    <row r="6551" spans="1:9" ht="15.75" thickBot="1" x14ac:dyDescent="0.3">
      <c r="A6551" s="61" t="s">
        <v>45</v>
      </c>
      <c r="B6551" s="145">
        <v>44165</v>
      </c>
      <c r="C6551" s="4">
        <v>53</v>
      </c>
      <c r="D6551" s="29">
        <f t="shared" si="551"/>
        <v>15643</v>
      </c>
      <c r="E6551" s="4">
        <v>1</v>
      </c>
      <c r="F6551" s="129">
        <f t="shared" si="550"/>
        <v>189</v>
      </c>
      <c r="G6551" s="88"/>
    </row>
    <row r="6552" spans="1:9" ht="15.75" thickBot="1" x14ac:dyDescent="0.3">
      <c r="A6552" s="61" t="s">
        <v>46</v>
      </c>
      <c r="B6552" s="145">
        <v>44165</v>
      </c>
      <c r="C6552" s="4">
        <v>91</v>
      </c>
      <c r="D6552" s="29">
        <f t="shared" si="551"/>
        <v>16181</v>
      </c>
      <c r="E6552" s="4">
        <v>3</v>
      </c>
      <c r="F6552" s="129">
        <f t="shared" si="550"/>
        <v>233</v>
      </c>
      <c r="G6552" s="88"/>
    </row>
    <row r="6553" spans="1:9" ht="15.75" thickBot="1" x14ac:dyDescent="0.3">
      <c r="A6553" s="61" t="s">
        <v>47</v>
      </c>
      <c r="B6553" s="145">
        <v>44165</v>
      </c>
      <c r="C6553" s="4">
        <v>303</v>
      </c>
      <c r="D6553" s="132">
        <f>C6553+D6529</f>
        <v>65933</v>
      </c>
      <c r="E6553" s="4">
        <v>7</v>
      </c>
      <c r="F6553" s="130">
        <f t="shared" si="550"/>
        <v>1184</v>
      </c>
    </row>
    <row r="6554" spans="1:9" ht="15.75" thickBot="1" x14ac:dyDescent="0.3">
      <c r="A6554" s="61" t="s">
        <v>22</v>
      </c>
      <c r="B6554" s="145">
        <v>44166</v>
      </c>
      <c r="C6554" s="4">
        <v>2128</v>
      </c>
      <c r="D6554" s="131">
        <f t="shared" ref="D6554:D6617" si="552">C6554+D6530</f>
        <v>620854</v>
      </c>
      <c r="E6554" s="4">
        <v>67</v>
      </c>
      <c r="F6554" s="128">
        <f t="shared" si="550"/>
        <v>20789</v>
      </c>
      <c r="G6554" s="88"/>
      <c r="H6554" s="88"/>
      <c r="I6554" s="88"/>
    </row>
    <row r="6555" spans="1:9" ht="15.75" thickBot="1" x14ac:dyDescent="0.3">
      <c r="A6555" s="61" t="s">
        <v>20</v>
      </c>
      <c r="B6555" s="145">
        <v>44166</v>
      </c>
      <c r="C6555" s="4">
        <v>398</v>
      </c>
      <c r="D6555" s="29">
        <f t="shared" si="552"/>
        <v>159203</v>
      </c>
      <c r="E6555" s="4">
        <v>14</v>
      </c>
      <c r="F6555" s="129">
        <f t="shared" si="550"/>
        <v>5227</v>
      </c>
      <c r="G6555" s="88"/>
      <c r="H6555" s="88"/>
      <c r="I6555" s="88"/>
    </row>
    <row r="6556" spans="1:9" ht="15.75" thickBot="1" x14ac:dyDescent="0.3">
      <c r="A6556" s="61" t="s">
        <v>35</v>
      </c>
      <c r="B6556" s="145">
        <v>44166</v>
      </c>
      <c r="C6556" s="4">
        <v>16</v>
      </c>
      <c r="D6556" s="29">
        <f t="shared" si="552"/>
        <v>1883</v>
      </c>
      <c r="E6556" s="4">
        <v>0</v>
      </c>
      <c r="F6556" s="129">
        <f t="shared" si="550"/>
        <v>15</v>
      </c>
      <c r="G6556" s="88"/>
    </row>
    <row r="6557" spans="1:9" ht="15.75" thickBot="1" x14ac:dyDescent="0.3">
      <c r="A6557" s="61" t="s">
        <v>21</v>
      </c>
      <c r="B6557" s="145">
        <v>44166</v>
      </c>
      <c r="C6557" s="4">
        <v>238</v>
      </c>
      <c r="D6557" s="29">
        <f t="shared" si="552"/>
        <v>19595</v>
      </c>
      <c r="E6557" s="4">
        <v>4</v>
      </c>
      <c r="F6557" s="129">
        <f t="shared" si="550"/>
        <v>566</v>
      </c>
      <c r="G6557" s="88"/>
      <c r="H6557" s="88"/>
      <c r="I6557" s="88"/>
    </row>
    <row r="6558" spans="1:9" ht="15.75" thickBot="1" x14ac:dyDescent="0.3">
      <c r="A6558" s="61" t="s">
        <v>36</v>
      </c>
      <c r="B6558" s="145">
        <v>44166</v>
      </c>
      <c r="C6558" s="4">
        <v>438</v>
      </c>
      <c r="D6558" s="29">
        <f t="shared" si="552"/>
        <v>23289</v>
      </c>
      <c r="E6558" s="4">
        <v>4</v>
      </c>
      <c r="F6558" s="129">
        <f t="shared" si="550"/>
        <v>381</v>
      </c>
      <c r="G6558" s="88"/>
      <c r="H6558" s="88"/>
      <c r="I6558" s="88"/>
    </row>
    <row r="6559" spans="1:9" ht="15.75" thickBot="1" x14ac:dyDescent="0.3">
      <c r="A6559" s="61" t="s">
        <v>27</v>
      </c>
      <c r="B6559" s="145">
        <v>44166</v>
      </c>
      <c r="C6559" s="4">
        <v>715</v>
      </c>
      <c r="D6559" s="29">
        <f t="shared" si="552"/>
        <v>114922</v>
      </c>
      <c r="E6559" s="4">
        <v>36</v>
      </c>
      <c r="F6559" s="129">
        <f t="shared" si="550"/>
        <v>2008</v>
      </c>
      <c r="G6559" s="88"/>
      <c r="H6559" s="88"/>
      <c r="I6559" s="88"/>
    </row>
    <row r="6560" spans="1:9" ht="15.75" thickBot="1" x14ac:dyDescent="0.3">
      <c r="A6560" s="61" t="s">
        <v>37</v>
      </c>
      <c r="B6560" s="145">
        <v>44166</v>
      </c>
      <c r="C6560" s="4">
        <v>193</v>
      </c>
      <c r="D6560" s="29">
        <f t="shared" si="552"/>
        <v>7291</v>
      </c>
      <c r="E6560" s="4">
        <v>2</v>
      </c>
      <c r="F6560" s="129">
        <f t="shared" si="550"/>
        <v>88</v>
      </c>
      <c r="G6560" s="88"/>
      <c r="I6560" s="88"/>
    </row>
    <row r="6561" spans="1:9" ht="15.75" thickBot="1" x14ac:dyDescent="0.3">
      <c r="A6561" s="61" t="s">
        <v>38</v>
      </c>
      <c r="B6561" s="145">
        <v>44166</v>
      </c>
      <c r="C6561" s="4">
        <v>139</v>
      </c>
      <c r="D6561" s="29">
        <f t="shared" si="552"/>
        <v>23504</v>
      </c>
      <c r="E6561" s="4">
        <v>2</v>
      </c>
      <c r="F6561" s="129">
        <f t="shared" si="550"/>
        <v>471</v>
      </c>
      <c r="G6561" s="88"/>
      <c r="H6561" s="88"/>
      <c r="I6561" s="88"/>
    </row>
    <row r="6562" spans="1:9" ht="15.75" thickBot="1" x14ac:dyDescent="0.3">
      <c r="A6562" s="61" t="s">
        <v>48</v>
      </c>
      <c r="B6562" s="145">
        <v>44166</v>
      </c>
      <c r="C6562" s="4">
        <v>1</v>
      </c>
      <c r="D6562" s="29">
        <f t="shared" si="552"/>
        <v>183</v>
      </c>
      <c r="E6562" s="4">
        <v>0</v>
      </c>
      <c r="F6562" s="129">
        <f t="shared" si="550"/>
        <v>3</v>
      </c>
      <c r="G6562" s="88"/>
    </row>
    <row r="6563" spans="1:9" ht="15.75" thickBot="1" x14ac:dyDescent="0.3">
      <c r="A6563" s="61" t="s">
        <v>39</v>
      </c>
      <c r="B6563" s="145">
        <v>44166</v>
      </c>
      <c r="C6563" s="4">
        <v>16</v>
      </c>
      <c r="D6563" s="29">
        <f t="shared" si="552"/>
        <v>18397</v>
      </c>
      <c r="E6563" s="4">
        <v>2</v>
      </c>
      <c r="F6563" s="129">
        <f t="shared" si="550"/>
        <v>850</v>
      </c>
      <c r="G6563" s="88"/>
      <c r="H6563" s="88"/>
      <c r="I6563" s="88"/>
    </row>
    <row r="6564" spans="1:9" ht="15.75" thickBot="1" x14ac:dyDescent="0.3">
      <c r="A6564" s="61" t="s">
        <v>40</v>
      </c>
      <c r="B6564" s="145">
        <v>44166</v>
      </c>
      <c r="C6564" s="4">
        <v>103</v>
      </c>
      <c r="D6564" s="29">
        <f t="shared" si="552"/>
        <v>5873</v>
      </c>
      <c r="E6564" s="4">
        <v>2</v>
      </c>
      <c r="F6564" s="129">
        <f t="shared" si="550"/>
        <v>85</v>
      </c>
      <c r="G6564" s="88"/>
      <c r="H6564" s="88"/>
    </row>
    <row r="6565" spans="1:9" ht="15.75" thickBot="1" x14ac:dyDescent="0.3">
      <c r="A6565" s="61" t="s">
        <v>28</v>
      </c>
      <c r="B6565" s="145">
        <v>44166</v>
      </c>
      <c r="C6565" s="4">
        <v>13</v>
      </c>
      <c r="D6565" s="29">
        <f t="shared" si="552"/>
        <v>8735</v>
      </c>
      <c r="E6565" s="4">
        <v>0</v>
      </c>
      <c r="F6565" s="129">
        <f t="shared" si="550"/>
        <v>316</v>
      </c>
      <c r="G6565" s="88"/>
    </row>
    <row r="6566" spans="1:9" ht="15.75" thickBot="1" x14ac:dyDescent="0.3">
      <c r="A6566" s="61" t="s">
        <v>24</v>
      </c>
      <c r="B6566" s="145">
        <v>44166</v>
      </c>
      <c r="C6566" s="4">
        <v>263</v>
      </c>
      <c r="D6566" s="29">
        <f t="shared" si="552"/>
        <v>56809</v>
      </c>
      <c r="E6566" s="4">
        <v>2</v>
      </c>
      <c r="F6566" s="129">
        <f t="shared" si="550"/>
        <v>1110</v>
      </c>
      <c r="G6566" s="88"/>
      <c r="H6566" s="88"/>
    </row>
    <row r="6567" spans="1:9" ht="15.75" thickBot="1" x14ac:dyDescent="0.3">
      <c r="A6567" s="61" t="s">
        <v>30</v>
      </c>
      <c r="B6567" s="145">
        <v>44166</v>
      </c>
      <c r="C6567" s="4">
        <v>19</v>
      </c>
      <c r="D6567" s="29">
        <f t="shared" si="552"/>
        <v>519</v>
      </c>
      <c r="E6567" s="4">
        <v>0</v>
      </c>
      <c r="F6567" s="129">
        <f t="shared" si="550"/>
        <v>9</v>
      </c>
      <c r="G6567" s="88"/>
    </row>
    <row r="6568" spans="1:9" ht="15.75" thickBot="1" x14ac:dyDescent="0.3">
      <c r="A6568" s="61" t="s">
        <v>26</v>
      </c>
      <c r="B6568" s="145">
        <v>44166</v>
      </c>
      <c r="C6568" s="4">
        <v>344</v>
      </c>
      <c r="D6568" s="29">
        <f t="shared" si="552"/>
        <v>32412</v>
      </c>
      <c r="E6568" s="4">
        <v>0</v>
      </c>
      <c r="F6568" s="129">
        <f t="shared" si="550"/>
        <v>621</v>
      </c>
      <c r="G6568" s="88"/>
    </row>
    <row r="6569" spans="1:9" ht="15.75" thickBot="1" x14ac:dyDescent="0.3">
      <c r="A6569" s="61" t="s">
        <v>25</v>
      </c>
      <c r="B6569" s="145">
        <v>44166</v>
      </c>
      <c r="C6569" s="4">
        <v>244</v>
      </c>
      <c r="D6569" s="29">
        <f t="shared" si="552"/>
        <v>31949</v>
      </c>
      <c r="E6569" s="4">
        <v>11</v>
      </c>
      <c r="F6569" s="129">
        <f t="shared" si="550"/>
        <v>791</v>
      </c>
      <c r="G6569" s="88"/>
      <c r="H6569" s="88"/>
      <c r="I6569" s="88"/>
    </row>
    <row r="6570" spans="1:9" ht="15.75" thickBot="1" x14ac:dyDescent="0.3">
      <c r="A6570" s="61" t="s">
        <v>41</v>
      </c>
      <c r="B6570" s="145">
        <v>44166</v>
      </c>
      <c r="C6570" s="4">
        <v>43</v>
      </c>
      <c r="D6570" s="29">
        <f t="shared" si="552"/>
        <v>21202</v>
      </c>
      <c r="E6570" s="4">
        <v>3</v>
      </c>
      <c r="F6570" s="129">
        <f t="shared" si="550"/>
        <v>998</v>
      </c>
      <c r="G6570" s="88"/>
      <c r="H6570" s="88"/>
    </row>
    <row r="6571" spans="1:9" ht="15.75" thickBot="1" x14ac:dyDescent="0.3">
      <c r="A6571" s="61" t="s">
        <v>42</v>
      </c>
      <c r="B6571" s="145">
        <v>44166</v>
      </c>
      <c r="C6571" s="4">
        <v>351</v>
      </c>
      <c r="D6571" s="29">
        <f t="shared" si="552"/>
        <v>7817</v>
      </c>
      <c r="E6571" s="4">
        <v>2</v>
      </c>
      <c r="F6571" s="129">
        <f t="shared" ref="F6571:F6625" si="553">E6571+F6547</f>
        <v>173</v>
      </c>
      <c r="G6571" s="88"/>
      <c r="H6571" s="88"/>
      <c r="I6571" s="88"/>
    </row>
    <row r="6572" spans="1:9" ht="15.75" thickBot="1" x14ac:dyDescent="0.3">
      <c r="A6572" s="61" t="s">
        <v>43</v>
      </c>
      <c r="B6572" s="145">
        <v>44166</v>
      </c>
      <c r="C6572" s="4">
        <v>253</v>
      </c>
      <c r="D6572" s="29">
        <f t="shared" si="552"/>
        <v>14708</v>
      </c>
      <c r="E6572" s="4">
        <v>3</v>
      </c>
      <c r="F6572" s="129">
        <f t="shared" si="553"/>
        <v>215</v>
      </c>
      <c r="G6572" s="88"/>
      <c r="H6572" s="88"/>
      <c r="I6572" s="88"/>
    </row>
    <row r="6573" spans="1:9" ht="15.75" thickBot="1" x14ac:dyDescent="0.3">
      <c r="A6573" s="61" t="s">
        <v>44</v>
      </c>
      <c r="B6573" s="145">
        <v>44166</v>
      </c>
      <c r="C6573" s="4">
        <v>315</v>
      </c>
      <c r="D6573" s="29">
        <f t="shared" si="552"/>
        <v>16241</v>
      </c>
      <c r="E6573" s="4">
        <v>6</v>
      </c>
      <c r="F6573" s="129">
        <f t="shared" si="553"/>
        <v>281</v>
      </c>
      <c r="G6573" s="88"/>
      <c r="H6573" s="88"/>
      <c r="I6573" s="88"/>
    </row>
    <row r="6574" spans="1:9" ht="15.75" thickBot="1" x14ac:dyDescent="0.3">
      <c r="A6574" s="61" t="s">
        <v>29</v>
      </c>
      <c r="B6574" s="145">
        <v>44166</v>
      </c>
      <c r="C6574" s="4">
        <v>1355</v>
      </c>
      <c r="D6574" s="29">
        <f t="shared" si="552"/>
        <v>148975</v>
      </c>
      <c r="E6574" s="4">
        <v>9</v>
      </c>
      <c r="F6574" s="129">
        <f t="shared" si="553"/>
        <v>2288</v>
      </c>
      <c r="G6574" s="88"/>
      <c r="H6574" s="88"/>
      <c r="I6574" s="88"/>
    </row>
    <row r="6575" spans="1:9" ht="15.75" thickBot="1" x14ac:dyDescent="0.3">
      <c r="A6575" s="61" t="s">
        <v>45</v>
      </c>
      <c r="B6575" s="145">
        <v>44166</v>
      </c>
      <c r="C6575" s="4">
        <v>71</v>
      </c>
      <c r="D6575" s="29">
        <f t="shared" si="552"/>
        <v>15714</v>
      </c>
      <c r="E6575" s="4">
        <v>1</v>
      </c>
      <c r="F6575" s="129">
        <f t="shared" si="553"/>
        <v>190</v>
      </c>
      <c r="G6575" s="88"/>
      <c r="I6575" s="88"/>
    </row>
    <row r="6576" spans="1:9" ht="15.75" thickBot="1" x14ac:dyDescent="0.3">
      <c r="A6576" s="61" t="s">
        <v>46</v>
      </c>
      <c r="B6576" s="145">
        <v>44166</v>
      </c>
      <c r="C6576" s="4">
        <v>79</v>
      </c>
      <c r="D6576" s="29">
        <f t="shared" si="552"/>
        <v>16260</v>
      </c>
      <c r="E6576" s="4">
        <v>2</v>
      </c>
      <c r="F6576" s="129">
        <f t="shared" si="553"/>
        <v>235</v>
      </c>
      <c r="G6576" s="88"/>
      <c r="H6576" s="88"/>
    </row>
    <row r="6577" spans="1:9" ht="15.75" thickBot="1" x14ac:dyDescent="0.3">
      <c r="A6577" s="61" t="s">
        <v>47</v>
      </c>
      <c r="B6577" s="145">
        <v>44166</v>
      </c>
      <c r="C6577" s="4">
        <v>302</v>
      </c>
      <c r="D6577" s="132">
        <f>C6577+D6553</f>
        <v>66235</v>
      </c>
      <c r="E6577" s="4">
        <v>26</v>
      </c>
      <c r="F6577" s="130">
        <f t="shared" si="553"/>
        <v>1210</v>
      </c>
      <c r="H6577" s="88"/>
      <c r="I6577" s="88"/>
    </row>
    <row r="6578" spans="1:9" ht="15.75" thickBot="1" x14ac:dyDescent="0.3">
      <c r="A6578" s="61" t="s">
        <v>22</v>
      </c>
      <c r="B6578" s="145">
        <v>44167</v>
      </c>
      <c r="C6578" s="4">
        <v>1924</v>
      </c>
      <c r="D6578" s="131">
        <f t="shared" si="552"/>
        <v>622778</v>
      </c>
      <c r="E6578" s="4">
        <v>82</v>
      </c>
      <c r="F6578" s="128">
        <f t="shared" si="553"/>
        <v>20871</v>
      </c>
    </row>
    <row r="6579" spans="1:9" ht="15.75" thickBot="1" x14ac:dyDescent="0.3">
      <c r="A6579" s="61" t="s">
        <v>20</v>
      </c>
      <c r="B6579" s="145">
        <v>44167</v>
      </c>
      <c r="C6579" s="4">
        <v>306</v>
      </c>
      <c r="D6579" s="29">
        <f t="shared" si="552"/>
        <v>159509</v>
      </c>
      <c r="E6579" s="4">
        <v>12</v>
      </c>
      <c r="F6579" s="129">
        <f t="shared" si="553"/>
        <v>5239</v>
      </c>
    </row>
    <row r="6580" spans="1:9" ht="15.75" thickBot="1" x14ac:dyDescent="0.3">
      <c r="A6580" s="61" t="s">
        <v>35</v>
      </c>
      <c r="B6580" s="145">
        <v>44167</v>
      </c>
      <c r="C6580" s="4">
        <v>8</v>
      </c>
      <c r="D6580" s="29">
        <f t="shared" si="552"/>
        <v>1891</v>
      </c>
      <c r="E6580" s="4">
        <v>1</v>
      </c>
      <c r="F6580" s="129">
        <f t="shared" si="553"/>
        <v>16</v>
      </c>
    </row>
    <row r="6581" spans="1:9" ht="15.75" thickBot="1" x14ac:dyDescent="0.3">
      <c r="A6581" s="61" t="s">
        <v>21</v>
      </c>
      <c r="B6581" s="145">
        <v>44167</v>
      </c>
      <c r="C6581" s="4">
        <v>198</v>
      </c>
      <c r="D6581" s="29">
        <f t="shared" si="552"/>
        <v>19793</v>
      </c>
      <c r="E6581" s="4">
        <v>6</v>
      </c>
      <c r="F6581" s="129">
        <f t="shared" si="553"/>
        <v>572</v>
      </c>
    </row>
    <row r="6582" spans="1:9" ht="15.75" thickBot="1" x14ac:dyDescent="0.3">
      <c r="A6582" s="61" t="s">
        <v>36</v>
      </c>
      <c r="B6582" s="145">
        <v>44167</v>
      </c>
      <c r="C6582" s="4">
        <v>256</v>
      </c>
      <c r="D6582" s="29">
        <f t="shared" si="552"/>
        <v>23545</v>
      </c>
      <c r="E6582" s="4">
        <v>8</v>
      </c>
      <c r="F6582" s="129">
        <f t="shared" si="553"/>
        <v>389</v>
      </c>
    </row>
    <row r="6583" spans="1:9" ht="15.75" thickBot="1" x14ac:dyDescent="0.3">
      <c r="A6583" s="61" t="s">
        <v>27</v>
      </c>
      <c r="B6583" s="145">
        <v>44167</v>
      </c>
      <c r="C6583" s="4">
        <v>790</v>
      </c>
      <c r="D6583" s="29">
        <f t="shared" si="552"/>
        <v>115712</v>
      </c>
      <c r="E6583" s="4">
        <v>22</v>
      </c>
      <c r="F6583" s="129">
        <f t="shared" si="553"/>
        <v>2030</v>
      </c>
    </row>
    <row r="6584" spans="1:9" ht="15.75" thickBot="1" x14ac:dyDescent="0.3">
      <c r="A6584" s="61" t="s">
        <v>37</v>
      </c>
      <c r="B6584" s="145">
        <v>44167</v>
      </c>
      <c r="C6584" s="4">
        <v>211</v>
      </c>
      <c r="D6584" s="29">
        <f t="shared" si="552"/>
        <v>7502</v>
      </c>
      <c r="F6584" s="129">
        <f t="shared" si="553"/>
        <v>88</v>
      </c>
    </row>
    <row r="6585" spans="1:9" ht="15.75" thickBot="1" x14ac:dyDescent="0.3">
      <c r="A6585" s="61" t="s">
        <v>38</v>
      </c>
      <c r="B6585" s="145">
        <v>44167</v>
      </c>
      <c r="C6585" s="4">
        <v>296</v>
      </c>
      <c r="D6585" s="29">
        <f t="shared" si="552"/>
        <v>23800</v>
      </c>
      <c r="E6585" s="4">
        <v>4</v>
      </c>
      <c r="F6585" s="129">
        <f t="shared" si="553"/>
        <v>475</v>
      </c>
    </row>
    <row r="6586" spans="1:9" ht="15.75" thickBot="1" x14ac:dyDescent="0.3">
      <c r="A6586" s="61" t="s">
        <v>48</v>
      </c>
      <c r="B6586" s="145">
        <v>44167</v>
      </c>
      <c r="C6586" s="4">
        <v>4</v>
      </c>
      <c r="D6586" s="29">
        <f t="shared" si="552"/>
        <v>187</v>
      </c>
      <c r="F6586" s="129">
        <f t="shared" si="553"/>
        <v>3</v>
      </c>
    </row>
    <row r="6587" spans="1:9" ht="15.75" thickBot="1" x14ac:dyDescent="0.3">
      <c r="A6587" s="61" t="s">
        <v>39</v>
      </c>
      <c r="B6587" s="145">
        <v>44167</v>
      </c>
      <c r="C6587" s="4">
        <v>6</v>
      </c>
      <c r="D6587" s="29">
        <f t="shared" si="552"/>
        <v>18403</v>
      </c>
      <c r="F6587" s="129">
        <f t="shared" si="553"/>
        <v>850</v>
      </c>
    </row>
    <row r="6588" spans="1:9" ht="15.75" thickBot="1" x14ac:dyDescent="0.3">
      <c r="A6588" s="61" t="s">
        <v>40</v>
      </c>
      <c r="B6588" s="145">
        <v>44167</v>
      </c>
      <c r="C6588" s="4">
        <v>104</v>
      </c>
      <c r="D6588" s="29">
        <f t="shared" si="552"/>
        <v>5977</v>
      </c>
      <c r="F6588" s="129">
        <f t="shared" si="553"/>
        <v>85</v>
      </c>
    </row>
    <row r="6589" spans="1:9" ht="15.75" thickBot="1" x14ac:dyDescent="0.3">
      <c r="A6589" s="61" t="s">
        <v>28</v>
      </c>
      <c r="B6589" s="145">
        <v>44167</v>
      </c>
      <c r="C6589" s="4">
        <v>33</v>
      </c>
      <c r="D6589" s="29">
        <f t="shared" si="552"/>
        <v>8768</v>
      </c>
      <c r="E6589" s="4">
        <v>1</v>
      </c>
      <c r="F6589" s="129">
        <f t="shared" si="553"/>
        <v>317</v>
      </c>
    </row>
    <row r="6590" spans="1:9" ht="15.75" thickBot="1" x14ac:dyDescent="0.3">
      <c r="A6590" s="61" t="s">
        <v>24</v>
      </c>
      <c r="B6590" s="145">
        <v>44167</v>
      </c>
      <c r="C6590" s="4">
        <v>214</v>
      </c>
      <c r="D6590" s="29">
        <f t="shared" si="552"/>
        <v>57023</v>
      </c>
      <c r="E6590" s="4">
        <v>2</v>
      </c>
      <c r="F6590" s="129">
        <f t="shared" si="553"/>
        <v>1112</v>
      </c>
    </row>
    <row r="6591" spans="1:9" ht="15.75" thickBot="1" x14ac:dyDescent="0.3">
      <c r="A6591" s="61" t="s">
        <v>30</v>
      </c>
      <c r="B6591" s="145">
        <v>44167</v>
      </c>
      <c r="C6591" s="4">
        <v>14</v>
      </c>
      <c r="D6591" s="29">
        <f t="shared" si="552"/>
        <v>533</v>
      </c>
      <c r="F6591" s="129">
        <f t="shared" si="553"/>
        <v>9</v>
      </c>
    </row>
    <row r="6592" spans="1:9" ht="15.75" thickBot="1" x14ac:dyDescent="0.3">
      <c r="A6592" s="61" t="s">
        <v>26</v>
      </c>
      <c r="B6592" s="145">
        <v>44167</v>
      </c>
      <c r="C6592" s="4">
        <v>389</v>
      </c>
      <c r="D6592" s="29">
        <f t="shared" si="552"/>
        <v>32801</v>
      </c>
      <c r="E6592" s="4">
        <v>23</v>
      </c>
      <c r="F6592" s="129">
        <f t="shared" si="553"/>
        <v>644</v>
      </c>
    </row>
    <row r="6593" spans="1:8" ht="15.75" thickBot="1" x14ac:dyDescent="0.3">
      <c r="A6593" s="61" t="s">
        <v>25</v>
      </c>
      <c r="B6593" s="145">
        <v>44167</v>
      </c>
      <c r="C6593" s="4">
        <v>258</v>
      </c>
      <c r="D6593" s="29">
        <f t="shared" si="552"/>
        <v>32207</v>
      </c>
      <c r="E6593" s="4">
        <v>3</v>
      </c>
      <c r="F6593" s="129">
        <f t="shared" si="553"/>
        <v>794</v>
      </c>
    </row>
    <row r="6594" spans="1:8" ht="15.75" thickBot="1" x14ac:dyDescent="0.3">
      <c r="A6594" s="61" t="s">
        <v>41</v>
      </c>
      <c r="B6594" s="145">
        <v>44167</v>
      </c>
      <c r="C6594" s="4">
        <v>49</v>
      </c>
      <c r="D6594" s="29">
        <f t="shared" si="552"/>
        <v>21251</v>
      </c>
      <c r="E6594" s="4">
        <v>1</v>
      </c>
      <c r="F6594" s="129">
        <f t="shared" si="553"/>
        <v>999</v>
      </c>
    </row>
    <row r="6595" spans="1:8" ht="15.75" thickBot="1" x14ac:dyDescent="0.3">
      <c r="A6595" s="61" t="s">
        <v>42</v>
      </c>
      <c r="B6595" s="145">
        <v>44167</v>
      </c>
      <c r="C6595" s="4">
        <v>250</v>
      </c>
      <c r="D6595" s="29">
        <f t="shared" si="552"/>
        <v>8067</v>
      </c>
      <c r="F6595" s="129">
        <f t="shared" si="553"/>
        <v>173</v>
      </c>
    </row>
    <row r="6596" spans="1:8" ht="15.75" thickBot="1" x14ac:dyDescent="0.3">
      <c r="A6596" s="61" t="s">
        <v>43</v>
      </c>
      <c r="B6596" s="145">
        <v>44167</v>
      </c>
      <c r="C6596" s="4">
        <v>101</v>
      </c>
      <c r="D6596" s="29">
        <f t="shared" si="552"/>
        <v>14809</v>
      </c>
      <c r="E6596" s="4">
        <v>5</v>
      </c>
      <c r="F6596" s="129">
        <f t="shared" si="553"/>
        <v>220</v>
      </c>
    </row>
    <row r="6597" spans="1:8" ht="15.75" thickBot="1" x14ac:dyDescent="0.3">
      <c r="A6597" s="61" t="s">
        <v>44</v>
      </c>
      <c r="B6597" s="145">
        <v>44167</v>
      </c>
      <c r="C6597" s="4">
        <v>237</v>
      </c>
      <c r="D6597" s="29">
        <f t="shared" si="552"/>
        <v>16478</v>
      </c>
      <c r="E6597" s="4">
        <v>4</v>
      </c>
      <c r="F6597" s="129">
        <f t="shared" si="553"/>
        <v>285</v>
      </c>
    </row>
    <row r="6598" spans="1:8" ht="15.75" thickBot="1" x14ac:dyDescent="0.3">
      <c r="A6598" s="61" t="s">
        <v>29</v>
      </c>
      <c r="B6598" s="145">
        <v>44167</v>
      </c>
      <c r="C6598" s="4">
        <v>1377</v>
      </c>
      <c r="D6598" s="29">
        <f t="shared" si="552"/>
        <v>150352</v>
      </c>
      <c r="E6598" s="4">
        <v>41</v>
      </c>
      <c r="F6598" s="129">
        <f t="shared" si="553"/>
        <v>2329</v>
      </c>
    </row>
    <row r="6599" spans="1:8" ht="15.75" thickBot="1" x14ac:dyDescent="0.3">
      <c r="A6599" s="61" t="s">
        <v>45</v>
      </c>
      <c r="B6599" s="145">
        <v>44167</v>
      </c>
      <c r="C6599" s="4">
        <v>129</v>
      </c>
      <c r="D6599" s="29">
        <f t="shared" si="552"/>
        <v>15843</v>
      </c>
      <c r="E6599" s="4">
        <v>1</v>
      </c>
      <c r="F6599" s="129">
        <f t="shared" si="553"/>
        <v>191</v>
      </c>
    </row>
    <row r="6600" spans="1:8" ht="15.75" thickBot="1" x14ac:dyDescent="0.3">
      <c r="A6600" s="61" t="s">
        <v>46</v>
      </c>
      <c r="B6600" s="145">
        <v>44167</v>
      </c>
      <c r="C6600" s="4">
        <v>128</v>
      </c>
      <c r="D6600" s="29">
        <f t="shared" si="552"/>
        <v>16388</v>
      </c>
      <c r="F6600" s="129">
        <f t="shared" si="553"/>
        <v>235</v>
      </c>
    </row>
    <row r="6601" spans="1:8" ht="15.75" thickBot="1" x14ac:dyDescent="0.3">
      <c r="A6601" s="86" t="s">
        <v>47</v>
      </c>
      <c r="B6601" s="138">
        <v>44167</v>
      </c>
      <c r="C6601" s="47">
        <v>251</v>
      </c>
      <c r="D6601" s="85">
        <f>C6601+D6577</f>
        <v>66486</v>
      </c>
      <c r="E6601" s="47">
        <v>12</v>
      </c>
      <c r="F6601" s="139">
        <f t="shared" si="553"/>
        <v>1222</v>
      </c>
    </row>
    <row r="6602" spans="1:8" x14ac:dyDescent="0.25">
      <c r="A6602" s="64" t="s">
        <v>22</v>
      </c>
      <c r="B6602" s="49">
        <v>44168</v>
      </c>
      <c r="C6602" s="50">
        <v>1816</v>
      </c>
      <c r="D6602" s="131">
        <f t="shared" si="552"/>
        <v>624594</v>
      </c>
      <c r="E6602" s="50">
        <v>39</v>
      </c>
      <c r="F6602" s="128">
        <f t="shared" si="553"/>
        <v>20910</v>
      </c>
    </row>
    <row r="6603" spans="1:8" x14ac:dyDescent="0.25">
      <c r="A6603" s="140" t="s">
        <v>20</v>
      </c>
      <c r="B6603" s="26">
        <v>44168</v>
      </c>
      <c r="C6603" s="4">
        <v>372</v>
      </c>
      <c r="D6603" s="29">
        <f t="shared" si="552"/>
        <v>159881</v>
      </c>
      <c r="E6603" s="4">
        <v>5</v>
      </c>
      <c r="F6603" s="129">
        <f t="shared" si="553"/>
        <v>5244</v>
      </c>
      <c r="H6603" s="88"/>
    </row>
    <row r="6604" spans="1:8" x14ac:dyDescent="0.25">
      <c r="A6604" s="140" t="s">
        <v>35</v>
      </c>
      <c r="B6604" s="26">
        <v>44168</v>
      </c>
      <c r="C6604" s="4">
        <v>17</v>
      </c>
      <c r="D6604" s="29">
        <f t="shared" si="552"/>
        <v>1908</v>
      </c>
      <c r="E6604" s="4">
        <v>1</v>
      </c>
      <c r="F6604" s="129">
        <f t="shared" si="553"/>
        <v>17</v>
      </c>
      <c r="H6604" s="88"/>
    </row>
    <row r="6605" spans="1:8" x14ac:dyDescent="0.25">
      <c r="A6605" s="140" t="s">
        <v>21</v>
      </c>
      <c r="B6605" s="26">
        <v>44168</v>
      </c>
      <c r="C6605" s="4">
        <v>335</v>
      </c>
      <c r="D6605" s="29">
        <f t="shared" si="552"/>
        <v>20128</v>
      </c>
      <c r="E6605" s="4">
        <v>4</v>
      </c>
      <c r="F6605" s="129">
        <f t="shared" si="553"/>
        <v>576</v>
      </c>
      <c r="H6605" s="88"/>
    </row>
    <row r="6606" spans="1:8" x14ac:dyDescent="0.25">
      <c r="A6606" s="140" t="s">
        <v>36</v>
      </c>
      <c r="B6606" s="26">
        <v>44168</v>
      </c>
      <c r="C6606" s="4">
        <v>316</v>
      </c>
      <c r="D6606" s="29">
        <f t="shared" si="552"/>
        <v>23861</v>
      </c>
      <c r="E6606" s="4">
        <v>9</v>
      </c>
      <c r="F6606" s="129">
        <f t="shared" si="553"/>
        <v>398</v>
      </c>
      <c r="H6606" s="88"/>
    </row>
    <row r="6607" spans="1:8" x14ac:dyDescent="0.25">
      <c r="A6607" s="140" t="s">
        <v>27</v>
      </c>
      <c r="B6607" s="26">
        <v>44168</v>
      </c>
      <c r="C6607" s="4">
        <v>532</v>
      </c>
      <c r="D6607" s="29">
        <f t="shared" si="552"/>
        <v>116244</v>
      </c>
      <c r="E6607" s="4">
        <v>8</v>
      </c>
      <c r="F6607" s="129">
        <f t="shared" si="553"/>
        <v>2038</v>
      </c>
      <c r="H6607" s="88"/>
    </row>
    <row r="6608" spans="1:8" x14ac:dyDescent="0.25">
      <c r="A6608" s="140" t="s">
        <v>37</v>
      </c>
      <c r="B6608" s="26">
        <v>44168</v>
      </c>
      <c r="C6608" s="4">
        <v>374</v>
      </c>
      <c r="D6608" s="29">
        <f t="shared" si="552"/>
        <v>7876</v>
      </c>
      <c r="E6608" s="4">
        <v>0</v>
      </c>
      <c r="F6608" s="129">
        <f t="shared" si="553"/>
        <v>88</v>
      </c>
      <c r="H6608" s="88"/>
    </row>
    <row r="6609" spans="1:8" x14ac:dyDescent="0.25">
      <c r="A6609" s="140" t="s">
        <v>38</v>
      </c>
      <c r="B6609" s="26">
        <v>44168</v>
      </c>
      <c r="C6609" s="4">
        <v>184</v>
      </c>
      <c r="D6609" s="29">
        <f t="shared" si="552"/>
        <v>23984</v>
      </c>
      <c r="E6609" s="4">
        <v>3</v>
      </c>
      <c r="F6609" s="129">
        <f t="shared" si="553"/>
        <v>478</v>
      </c>
      <c r="H6609" s="88"/>
    </row>
    <row r="6610" spans="1:8" x14ac:dyDescent="0.25">
      <c r="A6610" s="140" t="s">
        <v>48</v>
      </c>
      <c r="B6610" s="26">
        <v>44168</v>
      </c>
      <c r="C6610" s="4">
        <v>2</v>
      </c>
      <c r="D6610" s="29">
        <f t="shared" si="552"/>
        <v>189</v>
      </c>
      <c r="E6610" s="4">
        <v>0</v>
      </c>
      <c r="F6610" s="129">
        <f t="shared" si="553"/>
        <v>3</v>
      </c>
      <c r="H6610" s="88"/>
    </row>
    <row r="6611" spans="1:8" x14ac:dyDescent="0.25">
      <c r="A6611" s="140" t="s">
        <v>39</v>
      </c>
      <c r="B6611" s="26">
        <v>44168</v>
      </c>
      <c r="C6611" s="4">
        <v>7</v>
      </c>
      <c r="D6611" s="29">
        <f t="shared" si="552"/>
        <v>18410</v>
      </c>
      <c r="E6611" s="4">
        <v>0</v>
      </c>
      <c r="F6611" s="129">
        <f t="shared" si="553"/>
        <v>850</v>
      </c>
      <c r="H6611" s="88"/>
    </row>
    <row r="6612" spans="1:8" x14ac:dyDescent="0.25">
      <c r="A6612" s="140" t="s">
        <v>40</v>
      </c>
      <c r="B6612" s="26">
        <v>44168</v>
      </c>
      <c r="C6612" s="4">
        <v>97</v>
      </c>
      <c r="D6612" s="29">
        <f t="shared" si="552"/>
        <v>6074</v>
      </c>
      <c r="E6612" s="4">
        <v>2</v>
      </c>
      <c r="F6612" s="129">
        <f t="shared" si="553"/>
        <v>87</v>
      </c>
      <c r="H6612" s="88"/>
    </row>
    <row r="6613" spans="1:8" x14ac:dyDescent="0.25">
      <c r="A6613" s="140" t="s">
        <v>28</v>
      </c>
      <c r="B6613" s="26">
        <v>44168</v>
      </c>
      <c r="C6613" s="4">
        <v>32</v>
      </c>
      <c r="D6613" s="29">
        <f t="shared" si="552"/>
        <v>8800</v>
      </c>
      <c r="E6613" s="4">
        <v>3</v>
      </c>
      <c r="F6613" s="129">
        <f t="shared" si="553"/>
        <v>320</v>
      </c>
      <c r="H6613" s="88"/>
    </row>
    <row r="6614" spans="1:8" x14ac:dyDescent="0.25">
      <c r="A6614" s="140" t="s">
        <v>24</v>
      </c>
      <c r="B6614" s="26">
        <v>44168</v>
      </c>
      <c r="C6614" s="4">
        <v>242</v>
      </c>
      <c r="D6614" s="29">
        <f t="shared" si="552"/>
        <v>57265</v>
      </c>
      <c r="E6614" s="4">
        <v>8</v>
      </c>
      <c r="F6614" s="129">
        <f t="shared" si="553"/>
        <v>1120</v>
      </c>
      <c r="H6614" s="88"/>
    </row>
    <row r="6615" spans="1:8" x14ac:dyDescent="0.25">
      <c r="A6615" s="140" t="s">
        <v>30</v>
      </c>
      <c r="B6615" s="26">
        <v>44168</v>
      </c>
      <c r="C6615" s="4">
        <v>9</v>
      </c>
      <c r="D6615" s="29">
        <f t="shared" si="552"/>
        <v>542</v>
      </c>
      <c r="E6615" s="4">
        <v>0</v>
      </c>
      <c r="F6615" s="129">
        <f t="shared" si="553"/>
        <v>9</v>
      </c>
      <c r="H6615" s="88"/>
    </row>
    <row r="6616" spans="1:8" x14ac:dyDescent="0.25">
      <c r="A6616" s="140" t="s">
        <v>26</v>
      </c>
      <c r="B6616" s="26">
        <v>44168</v>
      </c>
      <c r="C6616" s="4">
        <v>554</v>
      </c>
      <c r="D6616" s="29">
        <f t="shared" si="552"/>
        <v>33355</v>
      </c>
      <c r="E6616" s="4">
        <v>0</v>
      </c>
      <c r="F6616" s="129">
        <f t="shared" si="553"/>
        <v>644</v>
      </c>
      <c r="H6616" s="88"/>
    </row>
    <row r="6617" spans="1:8" x14ac:dyDescent="0.25">
      <c r="A6617" s="140" t="s">
        <v>25</v>
      </c>
      <c r="B6617" s="26">
        <v>44168</v>
      </c>
      <c r="C6617" s="4">
        <v>209</v>
      </c>
      <c r="D6617" s="29">
        <f t="shared" si="552"/>
        <v>32416</v>
      </c>
      <c r="E6617" s="4">
        <v>2</v>
      </c>
      <c r="F6617" s="129">
        <f t="shared" si="553"/>
        <v>796</v>
      </c>
      <c r="H6617" s="88"/>
    </row>
    <row r="6618" spans="1:8" x14ac:dyDescent="0.25">
      <c r="A6618" s="140" t="s">
        <v>41</v>
      </c>
      <c r="B6618" s="26">
        <v>44168</v>
      </c>
      <c r="C6618" s="4">
        <v>81</v>
      </c>
      <c r="D6618" s="29">
        <f t="shared" ref="D6618:D6624" si="554">C6618+D6594</f>
        <v>21332</v>
      </c>
      <c r="E6618" s="4">
        <v>2</v>
      </c>
      <c r="F6618" s="129">
        <f t="shared" si="553"/>
        <v>1001</v>
      </c>
      <c r="H6618" s="88"/>
    </row>
    <row r="6619" spans="1:8" x14ac:dyDescent="0.25">
      <c r="A6619" s="140" t="s">
        <v>42</v>
      </c>
      <c r="B6619" s="26">
        <v>44168</v>
      </c>
      <c r="C6619" s="4">
        <v>168</v>
      </c>
      <c r="D6619" s="29">
        <f t="shared" si="554"/>
        <v>8235</v>
      </c>
      <c r="E6619" s="4">
        <v>0</v>
      </c>
      <c r="F6619" s="129">
        <f t="shared" si="553"/>
        <v>173</v>
      </c>
      <c r="H6619" s="88"/>
    </row>
    <row r="6620" spans="1:8" x14ac:dyDescent="0.25">
      <c r="A6620" s="140" t="s">
        <v>43</v>
      </c>
      <c r="B6620" s="26">
        <v>44168</v>
      </c>
      <c r="C6620" s="4">
        <v>149</v>
      </c>
      <c r="D6620" s="29">
        <f t="shared" si="554"/>
        <v>14958</v>
      </c>
      <c r="E6620" s="4">
        <v>8</v>
      </c>
      <c r="F6620" s="129">
        <f t="shared" si="553"/>
        <v>228</v>
      </c>
      <c r="H6620" s="88"/>
    </row>
    <row r="6621" spans="1:8" x14ac:dyDescent="0.25">
      <c r="A6621" s="140" t="s">
        <v>44</v>
      </c>
      <c r="B6621" s="26">
        <v>44168</v>
      </c>
      <c r="C6621" s="4">
        <v>218</v>
      </c>
      <c r="D6621" s="29">
        <f t="shared" si="554"/>
        <v>16696</v>
      </c>
      <c r="E6621" s="4">
        <v>6</v>
      </c>
      <c r="F6621" s="129">
        <f t="shared" si="553"/>
        <v>291</v>
      </c>
      <c r="H6621" s="88"/>
    </row>
    <row r="6622" spans="1:8" x14ac:dyDescent="0.25">
      <c r="A6622" s="140" t="s">
        <v>29</v>
      </c>
      <c r="B6622" s="26">
        <v>44168</v>
      </c>
      <c r="C6622" s="4">
        <v>1332</v>
      </c>
      <c r="D6622" s="29">
        <f t="shared" si="554"/>
        <v>151684</v>
      </c>
      <c r="E6622" s="4">
        <v>38</v>
      </c>
      <c r="F6622" s="129">
        <f t="shared" si="553"/>
        <v>2367</v>
      </c>
      <c r="H6622" s="88"/>
    </row>
    <row r="6623" spans="1:8" x14ac:dyDescent="0.25">
      <c r="A6623" s="140" t="s">
        <v>45</v>
      </c>
      <c r="B6623" s="26">
        <v>44168</v>
      </c>
      <c r="C6623" s="4">
        <v>99</v>
      </c>
      <c r="D6623" s="29">
        <f t="shared" si="554"/>
        <v>15942</v>
      </c>
      <c r="E6623" s="4">
        <v>4</v>
      </c>
      <c r="F6623" s="129">
        <f t="shared" si="553"/>
        <v>195</v>
      </c>
      <c r="H6623" s="88"/>
    </row>
    <row r="6624" spans="1:8" x14ac:dyDescent="0.25">
      <c r="A6624" s="140" t="s">
        <v>46</v>
      </c>
      <c r="B6624" s="26">
        <v>44168</v>
      </c>
      <c r="C6624" s="4">
        <v>93</v>
      </c>
      <c r="D6624" s="29">
        <f t="shared" si="554"/>
        <v>16481</v>
      </c>
      <c r="E6624" s="4">
        <v>1</v>
      </c>
      <c r="F6624" s="129">
        <f t="shared" si="553"/>
        <v>236</v>
      </c>
      <c r="H6624" s="88"/>
    </row>
    <row r="6625" spans="1:8" ht="15.75" thickBot="1" x14ac:dyDescent="0.3">
      <c r="A6625" s="141" t="s">
        <v>47</v>
      </c>
      <c r="B6625" s="53">
        <v>44168</v>
      </c>
      <c r="C6625" s="54">
        <v>391</v>
      </c>
      <c r="D6625" s="132">
        <f t="shared" ref="D6625:D6656" si="555">C6625+D6601</f>
        <v>66877</v>
      </c>
      <c r="E6625" s="54">
        <v>6</v>
      </c>
      <c r="F6625" s="130">
        <f t="shared" si="553"/>
        <v>1228</v>
      </c>
      <c r="H6625" s="88"/>
    </row>
    <row r="6626" spans="1:8" ht="15.75" thickBot="1" x14ac:dyDescent="0.3">
      <c r="A6626" s="64" t="s">
        <v>22</v>
      </c>
      <c r="B6626" s="53">
        <v>44169</v>
      </c>
      <c r="C6626" s="48">
        <v>1790</v>
      </c>
      <c r="D6626" s="131">
        <f t="shared" si="555"/>
        <v>626384</v>
      </c>
      <c r="E6626" s="48">
        <v>84</v>
      </c>
      <c r="F6626" s="128">
        <f t="shared" ref="F6626:F6657" si="556">E6626+F6602</f>
        <v>20994</v>
      </c>
    </row>
    <row r="6627" spans="1:8" ht="15.75" thickBot="1" x14ac:dyDescent="0.3">
      <c r="A6627" s="140" t="s">
        <v>20</v>
      </c>
      <c r="B6627" s="53">
        <v>44169</v>
      </c>
      <c r="C6627" s="4">
        <v>313</v>
      </c>
      <c r="D6627" s="29">
        <f t="shared" si="555"/>
        <v>160194</v>
      </c>
      <c r="E6627" s="48">
        <v>6</v>
      </c>
      <c r="F6627" s="129">
        <f t="shared" si="556"/>
        <v>5250</v>
      </c>
    </row>
    <row r="6628" spans="1:8" ht="15.75" thickBot="1" x14ac:dyDescent="0.3">
      <c r="A6628" s="140" t="s">
        <v>35</v>
      </c>
      <c r="B6628" s="53">
        <v>44169</v>
      </c>
      <c r="C6628" s="4">
        <v>33</v>
      </c>
      <c r="D6628" s="29">
        <f t="shared" si="555"/>
        <v>1941</v>
      </c>
      <c r="E6628" s="48">
        <v>0</v>
      </c>
      <c r="F6628" s="129">
        <f t="shared" si="556"/>
        <v>17</v>
      </c>
    </row>
    <row r="6629" spans="1:8" ht="15.75" thickBot="1" x14ac:dyDescent="0.3">
      <c r="A6629" s="140" t="s">
        <v>21</v>
      </c>
      <c r="B6629" s="53">
        <v>44169</v>
      </c>
      <c r="C6629" s="4">
        <v>205</v>
      </c>
      <c r="D6629" s="29">
        <f t="shared" si="555"/>
        <v>20333</v>
      </c>
      <c r="E6629" s="48">
        <v>5</v>
      </c>
      <c r="F6629" s="129">
        <f t="shared" si="556"/>
        <v>581</v>
      </c>
    </row>
    <row r="6630" spans="1:8" ht="15.75" thickBot="1" x14ac:dyDescent="0.3">
      <c r="A6630" s="140" t="s">
        <v>36</v>
      </c>
      <c r="B6630" s="53">
        <v>44169</v>
      </c>
      <c r="C6630" s="4">
        <v>336</v>
      </c>
      <c r="D6630" s="29">
        <f t="shared" si="555"/>
        <v>24197</v>
      </c>
      <c r="E6630" s="48">
        <v>2</v>
      </c>
      <c r="F6630" s="129">
        <f t="shared" si="556"/>
        <v>400</v>
      </c>
    </row>
    <row r="6631" spans="1:8" ht="15.75" thickBot="1" x14ac:dyDescent="0.3">
      <c r="A6631" s="140" t="s">
        <v>27</v>
      </c>
      <c r="B6631" s="53">
        <v>44169</v>
      </c>
      <c r="C6631" s="4">
        <v>555</v>
      </c>
      <c r="D6631" s="29">
        <f t="shared" si="555"/>
        <v>116799</v>
      </c>
      <c r="E6631" s="48">
        <v>10</v>
      </c>
      <c r="F6631" s="129">
        <f t="shared" si="556"/>
        <v>2048</v>
      </c>
    </row>
    <row r="6632" spans="1:8" ht="15.75" thickBot="1" x14ac:dyDescent="0.3">
      <c r="A6632" s="140" t="s">
        <v>37</v>
      </c>
      <c r="B6632" s="53">
        <v>44169</v>
      </c>
      <c r="C6632" s="4">
        <v>522</v>
      </c>
      <c r="D6632" s="29">
        <f t="shared" si="555"/>
        <v>8398</v>
      </c>
      <c r="E6632" s="48">
        <v>0</v>
      </c>
      <c r="F6632" s="129">
        <f t="shared" si="556"/>
        <v>88</v>
      </c>
    </row>
    <row r="6633" spans="1:8" ht="15.75" thickBot="1" x14ac:dyDescent="0.3">
      <c r="A6633" s="140" t="s">
        <v>38</v>
      </c>
      <c r="B6633" s="53">
        <v>44169</v>
      </c>
      <c r="C6633" s="4">
        <v>197</v>
      </c>
      <c r="D6633" s="29">
        <f t="shared" si="555"/>
        <v>24181</v>
      </c>
      <c r="E6633" s="48">
        <v>7</v>
      </c>
      <c r="F6633" s="129">
        <f t="shared" si="556"/>
        <v>485</v>
      </c>
    </row>
    <row r="6634" spans="1:8" ht="15.75" thickBot="1" x14ac:dyDescent="0.3">
      <c r="A6634" s="140" t="s">
        <v>48</v>
      </c>
      <c r="B6634" s="53">
        <v>44169</v>
      </c>
      <c r="C6634" s="4">
        <v>0</v>
      </c>
      <c r="D6634" s="29">
        <f t="shared" si="555"/>
        <v>189</v>
      </c>
      <c r="E6634" s="48">
        <v>0</v>
      </c>
      <c r="F6634" s="129">
        <f t="shared" si="556"/>
        <v>3</v>
      </c>
    </row>
    <row r="6635" spans="1:8" ht="15.75" thickBot="1" x14ac:dyDescent="0.3">
      <c r="A6635" s="140" t="s">
        <v>39</v>
      </c>
      <c r="B6635" s="53">
        <v>44169</v>
      </c>
      <c r="C6635" s="4">
        <v>2</v>
      </c>
      <c r="D6635" s="29">
        <f t="shared" si="555"/>
        <v>18412</v>
      </c>
      <c r="E6635" s="48">
        <v>0</v>
      </c>
      <c r="F6635" s="129">
        <f t="shared" si="556"/>
        <v>850</v>
      </c>
    </row>
    <row r="6636" spans="1:8" ht="15.75" thickBot="1" x14ac:dyDescent="0.3">
      <c r="A6636" s="140" t="s">
        <v>40</v>
      </c>
      <c r="B6636" s="53">
        <v>44169</v>
      </c>
      <c r="C6636" s="4">
        <v>77</v>
      </c>
      <c r="D6636" s="29">
        <f t="shared" si="555"/>
        <v>6151</v>
      </c>
      <c r="E6636" s="48">
        <v>1</v>
      </c>
      <c r="F6636" s="129">
        <f t="shared" si="556"/>
        <v>88</v>
      </c>
    </row>
    <row r="6637" spans="1:8" ht="15.75" thickBot="1" x14ac:dyDescent="0.3">
      <c r="A6637" s="140" t="s">
        <v>28</v>
      </c>
      <c r="B6637" s="53">
        <v>44169</v>
      </c>
      <c r="C6637" s="4">
        <v>12</v>
      </c>
      <c r="D6637" s="29">
        <f t="shared" si="555"/>
        <v>8812</v>
      </c>
      <c r="E6637" s="48">
        <v>0</v>
      </c>
      <c r="F6637" s="129">
        <f t="shared" si="556"/>
        <v>320</v>
      </c>
    </row>
    <row r="6638" spans="1:8" ht="15.75" thickBot="1" x14ac:dyDescent="0.3">
      <c r="A6638" s="140" t="s">
        <v>24</v>
      </c>
      <c r="B6638" s="53">
        <v>44169</v>
      </c>
      <c r="C6638" s="4">
        <v>162</v>
      </c>
      <c r="D6638" s="29">
        <f t="shared" si="555"/>
        <v>57427</v>
      </c>
      <c r="E6638" s="48">
        <v>19</v>
      </c>
      <c r="F6638" s="129">
        <f t="shared" si="556"/>
        <v>1139</v>
      </c>
    </row>
    <row r="6639" spans="1:8" ht="15.75" thickBot="1" x14ac:dyDescent="0.3">
      <c r="A6639" s="140" t="s">
        <v>30</v>
      </c>
      <c r="B6639" s="53">
        <v>44169</v>
      </c>
      <c r="C6639" s="4">
        <v>21</v>
      </c>
      <c r="D6639" s="29">
        <f t="shared" si="555"/>
        <v>563</v>
      </c>
      <c r="E6639" s="48">
        <v>0</v>
      </c>
      <c r="F6639" s="129">
        <f t="shared" si="556"/>
        <v>9</v>
      </c>
    </row>
    <row r="6640" spans="1:8" ht="15.75" thickBot="1" x14ac:dyDescent="0.3">
      <c r="A6640" s="140" t="s">
        <v>26</v>
      </c>
      <c r="B6640" s="53">
        <v>44169</v>
      </c>
      <c r="C6640" s="4">
        <v>600</v>
      </c>
      <c r="D6640" s="29">
        <f t="shared" si="555"/>
        <v>33955</v>
      </c>
      <c r="E6640" s="48">
        <v>6</v>
      </c>
      <c r="F6640" s="129">
        <f t="shared" si="556"/>
        <v>650</v>
      </c>
    </row>
    <row r="6641" spans="1:6" ht="15.75" thickBot="1" x14ac:dyDescent="0.3">
      <c r="A6641" s="140" t="s">
        <v>25</v>
      </c>
      <c r="B6641" s="53">
        <v>44169</v>
      </c>
      <c r="C6641" s="4">
        <v>201</v>
      </c>
      <c r="D6641" s="29">
        <f t="shared" si="555"/>
        <v>32617</v>
      </c>
      <c r="E6641" s="48">
        <v>2</v>
      </c>
      <c r="F6641" s="129">
        <f t="shared" si="556"/>
        <v>798</v>
      </c>
    </row>
    <row r="6642" spans="1:6" ht="15.75" thickBot="1" x14ac:dyDescent="0.3">
      <c r="A6642" s="140" t="s">
        <v>41</v>
      </c>
      <c r="B6642" s="53">
        <v>44169</v>
      </c>
      <c r="C6642" s="4">
        <v>48</v>
      </c>
      <c r="D6642" s="29">
        <f t="shared" si="555"/>
        <v>21380</v>
      </c>
      <c r="E6642" s="48">
        <v>4</v>
      </c>
      <c r="F6642" s="129">
        <f t="shared" si="556"/>
        <v>1005</v>
      </c>
    </row>
    <row r="6643" spans="1:6" ht="15.75" thickBot="1" x14ac:dyDescent="0.3">
      <c r="A6643" s="140" t="s">
        <v>42</v>
      </c>
      <c r="B6643" s="53">
        <v>44169</v>
      </c>
      <c r="C6643" s="4">
        <v>159</v>
      </c>
      <c r="D6643" s="29">
        <f t="shared" si="555"/>
        <v>8394</v>
      </c>
      <c r="E6643" s="48">
        <v>0</v>
      </c>
      <c r="F6643" s="129">
        <f t="shared" si="556"/>
        <v>173</v>
      </c>
    </row>
    <row r="6644" spans="1:6" ht="15.75" thickBot="1" x14ac:dyDescent="0.3">
      <c r="A6644" s="140" t="s">
        <v>43</v>
      </c>
      <c r="B6644" s="53">
        <v>44169</v>
      </c>
      <c r="C6644" s="4">
        <v>72</v>
      </c>
      <c r="D6644" s="29">
        <f t="shared" si="555"/>
        <v>15030</v>
      </c>
      <c r="E6644" s="48">
        <v>7</v>
      </c>
      <c r="F6644" s="129">
        <f t="shared" si="556"/>
        <v>235</v>
      </c>
    </row>
    <row r="6645" spans="1:6" ht="15.75" thickBot="1" x14ac:dyDescent="0.3">
      <c r="A6645" s="140" t="s">
        <v>44</v>
      </c>
      <c r="B6645" s="53">
        <v>44169</v>
      </c>
      <c r="C6645" s="4">
        <v>242</v>
      </c>
      <c r="D6645" s="29">
        <f t="shared" si="555"/>
        <v>16938</v>
      </c>
      <c r="E6645" s="48">
        <v>7</v>
      </c>
      <c r="F6645" s="129">
        <f t="shared" si="556"/>
        <v>298</v>
      </c>
    </row>
    <row r="6646" spans="1:6" ht="15.75" thickBot="1" x14ac:dyDescent="0.3">
      <c r="A6646" s="140" t="s">
        <v>29</v>
      </c>
      <c r="B6646" s="53">
        <v>44169</v>
      </c>
      <c r="C6646" s="4">
        <v>991</v>
      </c>
      <c r="D6646" s="29">
        <f t="shared" si="555"/>
        <v>152675</v>
      </c>
      <c r="E6646" s="48">
        <v>14</v>
      </c>
      <c r="F6646" s="129">
        <f t="shared" si="556"/>
        <v>2381</v>
      </c>
    </row>
    <row r="6647" spans="1:6" ht="15.75" thickBot="1" x14ac:dyDescent="0.3">
      <c r="A6647" s="140" t="s">
        <v>45</v>
      </c>
      <c r="B6647" s="53">
        <v>44169</v>
      </c>
      <c r="C6647" s="4">
        <v>82</v>
      </c>
      <c r="D6647" s="29">
        <f t="shared" si="555"/>
        <v>16024</v>
      </c>
      <c r="E6647" s="48">
        <v>3</v>
      </c>
      <c r="F6647" s="129">
        <f t="shared" si="556"/>
        <v>198</v>
      </c>
    </row>
    <row r="6648" spans="1:6" ht="15.75" thickBot="1" x14ac:dyDescent="0.3">
      <c r="A6648" s="140" t="s">
        <v>46</v>
      </c>
      <c r="B6648" s="53">
        <v>44169</v>
      </c>
      <c r="C6648" s="4">
        <v>107</v>
      </c>
      <c r="D6648" s="29">
        <f t="shared" si="555"/>
        <v>16588</v>
      </c>
      <c r="E6648" s="48">
        <v>1</v>
      </c>
      <c r="F6648" s="129">
        <f t="shared" si="556"/>
        <v>237</v>
      </c>
    </row>
    <row r="6649" spans="1:6" ht="15.75" thickBot="1" x14ac:dyDescent="0.3">
      <c r="A6649" s="141" t="s">
        <v>47</v>
      </c>
      <c r="B6649" s="53">
        <v>44169</v>
      </c>
      <c r="C6649" s="4">
        <v>172</v>
      </c>
      <c r="D6649" s="132">
        <f t="shared" si="555"/>
        <v>67049</v>
      </c>
      <c r="E6649" s="48">
        <v>12</v>
      </c>
      <c r="F6649" s="130">
        <f t="shared" si="556"/>
        <v>1240</v>
      </c>
    </row>
    <row r="6650" spans="1:6" ht="15.75" thickBot="1" x14ac:dyDescent="0.3">
      <c r="A6650" s="64" t="s">
        <v>22</v>
      </c>
      <c r="B6650" s="53">
        <v>44170</v>
      </c>
      <c r="C6650" s="4">
        <v>1374</v>
      </c>
      <c r="D6650" s="131">
        <f t="shared" si="555"/>
        <v>627758</v>
      </c>
      <c r="E6650" s="4">
        <v>25</v>
      </c>
      <c r="F6650" s="128">
        <f t="shared" si="556"/>
        <v>21019</v>
      </c>
    </row>
    <row r="6651" spans="1:6" ht="15.75" thickBot="1" x14ac:dyDescent="0.3">
      <c r="A6651" s="140" t="s">
        <v>20</v>
      </c>
      <c r="B6651" s="53">
        <v>44170</v>
      </c>
      <c r="C6651" s="4">
        <v>253</v>
      </c>
      <c r="D6651" s="29">
        <f t="shared" si="555"/>
        <v>160447</v>
      </c>
      <c r="E6651" s="4">
        <v>9</v>
      </c>
      <c r="F6651" s="129">
        <f t="shared" si="556"/>
        <v>5259</v>
      </c>
    </row>
    <row r="6652" spans="1:6" ht="15.75" thickBot="1" x14ac:dyDescent="0.3">
      <c r="A6652" s="140" t="s">
        <v>35</v>
      </c>
      <c r="B6652" s="53">
        <v>44170</v>
      </c>
      <c r="C6652" s="4">
        <v>3</v>
      </c>
      <c r="D6652" s="29">
        <f t="shared" si="555"/>
        <v>1944</v>
      </c>
      <c r="E6652" s="4">
        <v>0</v>
      </c>
      <c r="F6652" s="129">
        <f t="shared" si="556"/>
        <v>17</v>
      </c>
    </row>
    <row r="6653" spans="1:6" ht="15.75" thickBot="1" x14ac:dyDescent="0.3">
      <c r="A6653" s="140" t="s">
        <v>21</v>
      </c>
      <c r="B6653" s="53">
        <v>44170</v>
      </c>
      <c r="C6653" s="4">
        <v>263</v>
      </c>
      <c r="D6653" s="29">
        <f t="shared" si="555"/>
        <v>20596</v>
      </c>
      <c r="E6653" s="4">
        <v>6</v>
      </c>
      <c r="F6653" s="129">
        <f t="shared" si="556"/>
        <v>587</v>
      </c>
    </row>
    <row r="6654" spans="1:6" ht="15.75" thickBot="1" x14ac:dyDescent="0.3">
      <c r="A6654" s="140" t="s">
        <v>36</v>
      </c>
      <c r="B6654" s="53">
        <v>44170</v>
      </c>
      <c r="C6654" s="4">
        <v>214</v>
      </c>
      <c r="D6654" s="29">
        <f t="shared" si="555"/>
        <v>24411</v>
      </c>
      <c r="E6654" s="4">
        <v>0</v>
      </c>
      <c r="F6654" s="129">
        <f t="shared" si="556"/>
        <v>400</v>
      </c>
    </row>
    <row r="6655" spans="1:6" ht="15.75" thickBot="1" x14ac:dyDescent="0.3">
      <c r="A6655" s="140" t="s">
        <v>27</v>
      </c>
      <c r="B6655" s="53">
        <v>44170</v>
      </c>
      <c r="C6655" s="4">
        <v>451</v>
      </c>
      <c r="D6655" s="29">
        <f t="shared" si="555"/>
        <v>117250</v>
      </c>
      <c r="E6655" s="4">
        <v>25</v>
      </c>
      <c r="F6655" s="129">
        <f t="shared" si="556"/>
        <v>2073</v>
      </c>
    </row>
    <row r="6656" spans="1:6" ht="15.75" thickBot="1" x14ac:dyDescent="0.3">
      <c r="A6656" s="140" t="s">
        <v>37</v>
      </c>
      <c r="B6656" s="53">
        <v>44170</v>
      </c>
      <c r="C6656" s="4">
        <v>192</v>
      </c>
      <c r="D6656" s="29">
        <f t="shared" si="555"/>
        <v>8590</v>
      </c>
      <c r="E6656" s="4">
        <v>7</v>
      </c>
      <c r="F6656" s="129">
        <f t="shared" si="556"/>
        <v>95</v>
      </c>
    </row>
    <row r="6657" spans="1:6" ht="15.75" thickBot="1" x14ac:dyDescent="0.3">
      <c r="A6657" s="140" t="s">
        <v>38</v>
      </c>
      <c r="B6657" s="53">
        <v>44170</v>
      </c>
      <c r="C6657" s="4">
        <v>212</v>
      </c>
      <c r="D6657" s="29">
        <f t="shared" ref="D6657:D6688" si="557">C6657+D6633</f>
        <v>24393</v>
      </c>
      <c r="E6657" s="4">
        <v>1</v>
      </c>
      <c r="F6657" s="129">
        <f t="shared" si="556"/>
        <v>486</v>
      </c>
    </row>
    <row r="6658" spans="1:6" ht="15.75" thickBot="1" x14ac:dyDescent="0.3">
      <c r="A6658" s="140" t="s">
        <v>48</v>
      </c>
      <c r="B6658" s="53">
        <v>44170</v>
      </c>
      <c r="C6658" s="4">
        <v>1</v>
      </c>
      <c r="D6658" s="29">
        <f t="shared" si="557"/>
        <v>190</v>
      </c>
      <c r="E6658" s="4">
        <v>0</v>
      </c>
      <c r="F6658" s="129">
        <f t="shared" ref="F6658:F6689" si="558">E6658+F6634</f>
        <v>3</v>
      </c>
    </row>
    <row r="6659" spans="1:6" ht="15.75" thickBot="1" x14ac:dyDescent="0.3">
      <c r="A6659" s="140" t="s">
        <v>39</v>
      </c>
      <c r="B6659" s="53">
        <v>44170</v>
      </c>
      <c r="C6659" s="4">
        <v>3</v>
      </c>
      <c r="D6659" s="29">
        <f t="shared" si="557"/>
        <v>18415</v>
      </c>
      <c r="E6659" s="4">
        <v>0</v>
      </c>
      <c r="F6659" s="129">
        <f t="shared" si="558"/>
        <v>850</v>
      </c>
    </row>
    <row r="6660" spans="1:6" ht="15.75" thickBot="1" x14ac:dyDescent="0.3">
      <c r="A6660" s="140" t="s">
        <v>40</v>
      </c>
      <c r="B6660" s="53">
        <v>44170</v>
      </c>
      <c r="C6660" s="4">
        <v>68</v>
      </c>
      <c r="D6660" s="29">
        <f t="shared" si="557"/>
        <v>6219</v>
      </c>
      <c r="E6660" s="4">
        <v>0</v>
      </c>
      <c r="F6660" s="129">
        <f t="shared" si="558"/>
        <v>88</v>
      </c>
    </row>
    <row r="6661" spans="1:6" ht="15.75" thickBot="1" x14ac:dyDescent="0.3">
      <c r="A6661" s="140" t="s">
        <v>28</v>
      </c>
      <c r="B6661" s="53">
        <v>44170</v>
      </c>
      <c r="C6661" s="4">
        <v>22</v>
      </c>
      <c r="D6661" s="29">
        <f t="shared" si="557"/>
        <v>8834</v>
      </c>
      <c r="E6661" s="4">
        <v>0</v>
      </c>
      <c r="F6661" s="129">
        <f t="shared" si="558"/>
        <v>320</v>
      </c>
    </row>
    <row r="6662" spans="1:6" ht="15.75" thickBot="1" x14ac:dyDescent="0.3">
      <c r="A6662" s="140" t="s">
        <v>24</v>
      </c>
      <c r="B6662" s="53">
        <v>44170</v>
      </c>
      <c r="C6662" s="4">
        <v>100</v>
      </c>
      <c r="D6662" s="29">
        <f t="shared" si="557"/>
        <v>57527</v>
      </c>
      <c r="E6662" s="4">
        <v>4</v>
      </c>
      <c r="F6662" s="129">
        <f t="shared" si="558"/>
        <v>1143</v>
      </c>
    </row>
    <row r="6663" spans="1:6" ht="15.75" thickBot="1" x14ac:dyDescent="0.3">
      <c r="A6663" s="140" t="s">
        <v>30</v>
      </c>
      <c r="B6663" s="53">
        <v>44170</v>
      </c>
      <c r="C6663" s="4">
        <v>5</v>
      </c>
      <c r="D6663" s="29">
        <f t="shared" si="557"/>
        <v>568</v>
      </c>
      <c r="E6663" s="4">
        <v>0</v>
      </c>
      <c r="F6663" s="129">
        <f t="shared" si="558"/>
        <v>9</v>
      </c>
    </row>
    <row r="6664" spans="1:6" ht="15.75" thickBot="1" x14ac:dyDescent="0.3">
      <c r="A6664" s="140" t="s">
        <v>26</v>
      </c>
      <c r="B6664" s="53">
        <v>44170</v>
      </c>
      <c r="C6664" s="4">
        <v>289</v>
      </c>
      <c r="D6664" s="29">
        <f t="shared" si="557"/>
        <v>34244</v>
      </c>
      <c r="E6664" s="4">
        <v>0</v>
      </c>
      <c r="F6664" s="129">
        <f t="shared" si="558"/>
        <v>650</v>
      </c>
    </row>
    <row r="6665" spans="1:6" ht="15.75" thickBot="1" x14ac:dyDescent="0.3">
      <c r="A6665" s="140" t="s">
        <v>25</v>
      </c>
      <c r="B6665" s="53">
        <v>44170</v>
      </c>
      <c r="C6665" s="4">
        <v>146</v>
      </c>
      <c r="D6665" s="29">
        <f t="shared" si="557"/>
        <v>32763</v>
      </c>
      <c r="E6665" s="4">
        <v>5</v>
      </c>
      <c r="F6665" s="129">
        <f t="shared" si="558"/>
        <v>803</v>
      </c>
    </row>
    <row r="6666" spans="1:6" ht="15.75" thickBot="1" x14ac:dyDescent="0.3">
      <c r="A6666" s="140" t="s">
        <v>41</v>
      </c>
      <c r="B6666" s="53">
        <v>44170</v>
      </c>
      <c r="C6666" s="4">
        <v>24</v>
      </c>
      <c r="D6666" s="29">
        <f t="shared" si="557"/>
        <v>21404</v>
      </c>
      <c r="E6666" s="4">
        <v>1</v>
      </c>
      <c r="F6666" s="129">
        <f t="shared" si="558"/>
        <v>1006</v>
      </c>
    </row>
    <row r="6667" spans="1:6" ht="15.75" thickBot="1" x14ac:dyDescent="0.3">
      <c r="A6667" s="140" t="s">
        <v>42</v>
      </c>
      <c r="B6667" s="53">
        <v>44170</v>
      </c>
      <c r="C6667" s="4">
        <v>51</v>
      </c>
      <c r="D6667" s="29">
        <f t="shared" si="557"/>
        <v>8445</v>
      </c>
      <c r="E6667" s="4">
        <v>0</v>
      </c>
      <c r="F6667" s="129">
        <f t="shared" si="558"/>
        <v>173</v>
      </c>
    </row>
    <row r="6668" spans="1:6" ht="15.75" thickBot="1" x14ac:dyDescent="0.3">
      <c r="A6668" s="140" t="s">
        <v>43</v>
      </c>
      <c r="B6668" s="53">
        <v>44170</v>
      </c>
      <c r="C6668" s="4">
        <v>54</v>
      </c>
      <c r="D6668" s="29">
        <f t="shared" si="557"/>
        <v>15084</v>
      </c>
      <c r="E6668" s="4">
        <v>1</v>
      </c>
      <c r="F6668" s="129">
        <f t="shared" si="558"/>
        <v>236</v>
      </c>
    </row>
    <row r="6669" spans="1:6" ht="15.75" thickBot="1" x14ac:dyDescent="0.3">
      <c r="A6669" s="140" t="s">
        <v>44</v>
      </c>
      <c r="B6669" s="53">
        <v>44170</v>
      </c>
      <c r="C6669" s="4">
        <v>187</v>
      </c>
      <c r="D6669" s="29">
        <f t="shared" si="557"/>
        <v>17125</v>
      </c>
      <c r="E6669" s="4">
        <v>4</v>
      </c>
      <c r="F6669" s="129">
        <f t="shared" si="558"/>
        <v>302</v>
      </c>
    </row>
    <row r="6670" spans="1:6" ht="15.75" thickBot="1" x14ac:dyDescent="0.3">
      <c r="A6670" s="140" t="s">
        <v>29</v>
      </c>
      <c r="B6670" s="53">
        <v>44170</v>
      </c>
      <c r="C6670" s="4">
        <v>976</v>
      </c>
      <c r="D6670" s="29">
        <f t="shared" si="557"/>
        <v>153651</v>
      </c>
      <c r="E6670" s="4">
        <v>25</v>
      </c>
      <c r="F6670" s="129">
        <f t="shared" si="558"/>
        <v>2406</v>
      </c>
    </row>
    <row r="6671" spans="1:6" ht="15.75" thickBot="1" x14ac:dyDescent="0.3">
      <c r="A6671" s="140" t="s">
        <v>45</v>
      </c>
      <c r="B6671" s="53">
        <v>44170</v>
      </c>
      <c r="C6671" s="4">
        <v>83</v>
      </c>
      <c r="D6671" s="29">
        <f t="shared" si="557"/>
        <v>16107</v>
      </c>
      <c r="E6671" s="4">
        <v>1</v>
      </c>
      <c r="F6671" s="129">
        <f t="shared" si="558"/>
        <v>199</v>
      </c>
    </row>
    <row r="6672" spans="1:6" ht="15.75" thickBot="1" x14ac:dyDescent="0.3">
      <c r="A6672" s="140" t="s">
        <v>46</v>
      </c>
      <c r="B6672" s="53">
        <v>44170</v>
      </c>
      <c r="C6672" s="4">
        <v>96</v>
      </c>
      <c r="D6672" s="29">
        <f t="shared" si="557"/>
        <v>16684</v>
      </c>
      <c r="E6672" s="4">
        <v>0</v>
      </c>
      <c r="F6672" s="129">
        <f t="shared" si="558"/>
        <v>237</v>
      </c>
    </row>
    <row r="6673" spans="1:6" ht="15.75" thickBot="1" x14ac:dyDescent="0.3">
      <c r="A6673" s="141" t="s">
        <v>47</v>
      </c>
      <c r="B6673" s="53">
        <v>44170</v>
      </c>
      <c r="C6673" s="4">
        <v>134</v>
      </c>
      <c r="D6673" s="132">
        <f t="shared" si="557"/>
        <v>67183</v>
      </c>
      <c r="E6673" s="4">
        <v>7</v>
      </c>
      <c r="F6673" s="130">
        <f t="shared" si="558"/>
        <v>1247</v>
      </c>
    </row>
    <row r="6674" spans="1:6" ht="15.75" thickBot="1" x14ac:dyDescent="0.3">
      <c r="A6674" s="64" t="s">
        <v>22</v>
      </c>
      <c r="B6674" s="53">
        <v>44171</v>
      </c>
      <c r="C6674" s="4">
        <v>719</v>
      </c>
      <c r="D6674" s="131">
        <f t="shared" si="557"/>
        <v>628477</v>
      </c>
      <c r="E6674" s="4">
        <v>87</v>
      </c>
      <c r="F6674" s="128">
        <f t="shared" si="558"/>
        <v>21106</v>
      </c>
    </row>
    <row r="6675" spans="1:6" ht="15.75" thickBot="1" x14ac:dyDescent="0.3">
      <c r="A6675" s="140" t="s">
        <v>20</v>
      </c>
      <c r="B6675" s="53">
        <v>44171</v>
      </c>
      <c r="C6675" s="4">
        <v>226</v>
      </c>
      <c r="D6675" s="29">
        <f t="shared" si="557"/>
        <v>160673</v>
      </c>
      <c r="E6675" s="4">
        <v>3</v>
      </c>
      <c r="F6675" s="129">
        <f t="shared" si="558"/>
        <v>5262</v>
      </c>
    </row>
    <row r="6676" spans="1:6" ht="15.75" thickBot="1" x14ac:dyDescent="0.3">
      <c r="A6676" s="140" t="s">
        <v>35</v>
      </c>
      <c r="B6676" s="53">
        <v>44171</v>
      </c>
      <c r="C6676" s="4">
        <v>41</v>
      </c>
      <c r="D6676" s="29">
        <f t="shared" si="557"/>
        <v>1985</v>
      </c>
      <c r="E6676" s="4">
        <v>0</v>
      </c>
      <c r="F6676" s="129">
        <f t="shared" si="558"/>
        <v>17</v>
      </c>
    </row>
    <row r="6677" spans="1:6" ht="15.75" thickBot="1" x14ac:dyDescent="0.3">
      <c r="A6677" s="140" t="s">
        <v>21</v>
      </c>
      <c r="B6677" s="53">
        <v>44171</v>
      </c>
      <c r="C6677" s="4">
        <v>134</v>
      </c>
      <c r="D6677" s="29">
        <f t="shared" si="557"/>
        <v>20730</v>
      </c>
      <c r="E6677" s="4">
        <v>3</v>
      </c>
      <c r="F6677" s="129">
        <f t="shared" si="558"/>
        <v>590</v>
      </c>
    </row>
    <row r="6678" spans="1:6" ht="15.75" thickBot="1" x14ac:dyDescent="0.3">
      <c r="A6678" s="140" t="s">
        <v>36</v>
      </c>
      <c r="B6678" s="53">
        <v>44171</v>
      </c>
      <c r="C6678" s="4">
        <v>77</v>
      </c>
      <c r="D6678" s="29">
        <f t="shared" si="557"/>
        <v>24488</v>
      </c>
      <c r="E6678" s="4">
        <v>0</v>
      </c>
      <c r="F6678" s="129">
        <f t="shared" si="558"/>
        <v>400</v>
      </c>
    </row>
    <row r="6679" spans="1:6" ht="15.75" thickBot="1" x14ac:dyDescent="0.3">
      <c r="A6679" s="140" t="s">
        <v>27</v>
      </c>
      <c r="B6679" s="53">
        <v>44171</v>
      </c>
      <c r="C6679" s="4">
        <v>262</v>
      </c>
      <c r="D6679" s="29">
        <f t="shared" si="557"/>
        <v>117512</v>
      </c>
      <c r="E6679" s="4">
        <v>16</v>
      </c>
      <c r="F6679" s="129">
        <f t="shared" si="558"/>
        <v>2089</v>
      </c>
    </row>
    <row r="6680" spans="1:6" ht="15.75" thickBot="1" x14ac:dyDescent="0.3">
      <c r="A6680" s="140" t="s">
        <v>37</v>
      </c>
      <c r="B6680" s="53">
        <v>44171</v>
      </c>
      <c r="C6680" s="4">
        <v>87</v>
      </c>
      <c r="D6680" s="29">
        <f t="shared" si="557"/>
        <v>8677</v>
      </c>
      <c r="E6680" s="4">
        <v>9</v>
      </c>
      <c r="F6680" s="129">
        <f t="shared" si="558"/>
        <v>104</v>
      </c>
    </row>
    <row r="6681" spans="1:6" ht="15.75" thickBot="1" x14ac:dyDescent="0.3">
      <c r="A6681" s="140" t="s">
        <v>38</v>
      </c>
      <c r="B6681" s="53">
        <v>44171</v>
      </c>
      <c r="C6681" s="4">
        <v>127</v>
      </c>
      <c r="D6681" s="29">
        <f t="shared" si="557"/>
        <v>24520</v>
      </c>
      <c r="E6681" s="4">
        <v>1</v>
      </c>
      <c r="F6681" s="129">
        <f t="shared" si="558"/>
        <v>487</v>
      </c>
    </row>
    <row r="6682" spans="1:6" ht="15.75" thickBot="1" x14ac:dyDescent="0.3">
      <c r="A6682" s="140" t="s">
        <v>48</v>
      </c>
      <c r="B6682" s="53">
        <v>44171</v>
      </c>
      <c r="C6682" s="4">
        <v>-1</v>
      </c>
      <c r="D6682" s="29">
        <f t="shared" si="557"/>
        <v>189</v>
      </c>
      <c r="E6682" s="4">
        <v>0</v>
      </c>
      <c r="F6682" s="129">
        <f t="shared" si="558"/>
        <v>3</v>
      </c>
    </row>
    <row r="6683" spans="1:6" ht="15.75" thickBot="1" x14ac:dyDescent="0.3">
      <c r="A6683" s="140" t="s">
        <v>39</v>
      </c>
      <c r="B6683" s="53">
        <v>44171</v>
      </c>
      <c r="C6683" s="4">
        <v>0</v>
      </c>
      <c r="D6683" s="29">
        <f t="shared" si="557"/>
        <v>18415</v>
      </c>
      <c r="E6683" s="4">
        <v>1</v>
      </c>
      <c r="F6683" s="129">
        <f t="shared" si="558"/>
        <v>851</v>
      </c>
    </row>
    <row r="6684" spans="1:6" ht="15.75" thickBot="1" x14ac:dyDescent="0.3">
      <c r="A6684" s="140" t="s">
        <v>40</v>
      </c>
      <c r="B6684" s="53">
        <v>44171</v>
      </c>
      <c r="C6684" s="4">
        <v>61</v>
      </c>
      <c r="D6684" s="29">
        <f t="shared" si="557"/>
        <v>6280</v>
      </c>
      <c r="E6684" s="4">
        <v>0</v>
      </c>
      <c r="F6684" s="129">
        <f t="shared" si="558"/>
        <v>88</v>
      </c>
    </row>
    <row r="6685" spans="1:6" ht="15.75" thickBot="1" x14ac:dyDescent="0.3">
      <c r="A6685" s="140" t="s">
        <v>28</v>
      </c>
      <c r="B6685" s="53">
        <v>44171</v>
      </c>
      <c r="C6685" s="4">
        <v>5</v>
      </c>
      <c r="D6685" s="29">
        <f t="shared" si="557"/>
        <v>8839</v>
      </c>
      <c r="E6685" s="4">
        <v>1</v>
      </c>
      <c r="F6685" s="129">
        <f t="shared" si="558"/>
        <v>321</v>
      </c>
    </row>
    <row r="6686" spans="1:6" ht="15.75" thickBot="1" x14ac:dyDescent="0.3">
      <c r="A6686" s="140" t="s">
        <v>24</v>
      </c>
      <c r="B6686" s="53">
        <v>44171</v>
      </c>
      <c r="C6686" s="4">
        <v>41</v>
      </c>
      <c r="D6686" s="29">
        <f t="shared" si="557"/>
        <v>57568</v>
      </c>
      <c r="E6686" s="4">
        <v>0</v>
      </c>
      <c r="F6686" s="129">
        <f t="shared" si="558"/>
        <v>1143</v>
      </c>
    </row>
    <row r="6687" spans="1:6" ht="15.75" thickBot="1" x14ac:dyDescent="0.3">
      <c r="A6687" s="140" t="s">
        <v>30</v>
      </c>
      <c r="B6687" s="53">
        <v>44171</v>
      </c>
      <c r="C6687" s="4">
        <v>5</v>
      </c>
      <c r="D6687" s="29">
        <f t="shared" si="557"/>
        <v>573</v>
      </c>
      <c r="E6687" s="4">
        <v>0</v>
      </c>
      <c r="F6687" s="129">
        <f t="shared" si="558"/>
        <v>9</v>
      </c>
    </row>
    <row r="6688" spans="1:6" ht="15.75" thickBot="1" x14ac:dyDescent="0.3">
      <c r="A6688" s="140" t="s">
        <v>26</v>
      </c>
      <c r="B6688" s="53">
        <v>44171</v>
      </c>
      <c r="C6688" s="4">
        <v>395</v>
      </c>
      <c r="D6688" s="29">
        <f t="shared" si="557"/>
        <v>34639</v>
      </c>
      <c r="E6688" s="4">
        <v>7</v>
      </c>
      <c r="F6688" s="129">
        <f t="shared" si="558"/>
        <v>657</v>
      </c>
    </row>
    <row r="6689" spans="1:9" ht="15.75" thickBot="1" x14ac:dyDescent="0.3">
      <c r="A6689" s="140" t="s">
        <v>25</v>
      </c>
      <c r="B6689" s="53">
        <v>44171</v>
      </c>
      <c r="C6689" s="4">
        <v>115</v>
      </c>
      <c r="D6689" s="29">
        <f t="shared" ref="D6689:D6752" si="559">C6689+D6665</f>
        <v>32878</v>
      </c>
      <c r="E6689" s="4">
        <v>0</v>
      </c>
      <c r="F6689" s="129">
        <f t="shared" si="558"/>
        <v>803</v>
      </c>
    </row>
    <row r="6690" spans="1:9" ht="15.75" thickBot="1" x14ac:dyDescent="0.3">
      <c r="A6690" s="140" t="s">
        <v>41</v>
      </c>
      <c r="B6690" s="53">
        <v>44171</v>
      </c>
      <c r="C6690" s="4">
        <v>14</v>
      </c>
      <c r="D6690" s="29">
        <f t="shared" si="559"/>
        <v>21418</v>
      </c>
      <c r="E6690" s="4">
        <v>0</v>
      </c>
      <c r="F6690" s="129">
        <f t="shared" ref="F6690:F6753" si="560">E6690+F6666</f>
        <v>1006</v>
      </c>
    </row>
    <row r="6691" spans="1:9" ht="15.75" thickBot="1" x14ac:dyDescent="0.3">
      <c r="A6691" s="140" t="s">
        <v>42</v>
      </c>
      <c r="B6691" s="53">
        <v>44171</v>
      </c>
      <c r="C6691" s="4">
        <v>19</v>
      </c>
      <c r="D6691" s="29">
        <f t="shared" si="559"/>
        <v>8464</v>
      </c>
      <c r="E6691" s="4">
        <v>0</v>
      </c>
      <c r="F6691" s="129">
        <f t="shared" si="560"/>
        <v>173</v>
      </c>
    </row>
    <row r="6692" spans="1:9" ht="15.75" thickBot="1" x14ac:dyDescent="0.3">
      <c r="A6692" s="140" t="s">
        <v>43</v>
      </c>
      <c r="B6692" s="53">
        <v>44171</v>
      </c>
      <c r="C6692" s="4">
        <v>17</v>
      </c>
      <c r="D6692" s="29">
        <f t="shared" si="559"/>
        <v>15101</v>
      </c>
      <c r="E6692" s="4">
        <v>0</v>
      </c>
      <c r="F6692" s="129">
        <f t="shared" si="560"/>
        <v>236</v>
      </c>
    </row>
    <row r="6693" spans="1:9" ht="15.75" thickBot="1" x14ac:dyDescent="0.3">
      <c r="A6693" s="140" t="s">
        <v>44</v>
      </c>
      <c r="B6693" s="53">
        <v>44171</v>
      </c>
      <c r="C6693" s="4">
        <v>172</v>
      </c>
      <c r="D6693" s="29">
        <f t="shared" si="559"/>
        <v>17297</v>
      </c>
      <c r="E6693" s="4">
        <v>1</v>
      </c>
      <c r="F6693" s="129">
        <f t="shared" si="560"/>
        <v>303</v>
      </c>
    </row>
    <row r="6694" spans="1:9" ht="15.75" thickBot="1" x14ac:dyDescent="0.3">
      <c r="A6694" s="140" t="s">
        <v>29</v>
      </c>
      <c r="B6694" s="53">
        <v>44171</v>
      </c>
      <c r="C6694" s="4">
        <v>568</v>
      </c>
      <c r="D6694" s="29">
        <f t="shared" si="559"/>
        <v>154219</v>
      </c>
      <c r="E6694" s="4">
        <v>4</v>
      </c>
      <c r="F6694" s="129">
        <f t="shared" si="560"/>
        <v>2410</v>
      </c>
    </row>
    <row r="6695" spans="1:9" ht="15.75" thickBot="1" x14ac:dyDescent="0.3">
      <c r="A6695" s="140" t="s">
        <v>45</v>
      </c>
      <c r="B6695" s="53">
        <v>44171</v>
      </c>
      <c r="C6695" s="4">
        <v>52</v>
      </c>
      <c r="D6695" s="29">
        <f t="shared" si="559"/>
        <v>16159</v>
      </c>
      <c r="E6695" s="4">
        <v>1</v>
      </c>
      <c r="F6695" s="129">
        <f t="shared" si="560"/>
        <v>200</v>
      </c>
    </row>
    <row r="6696" spans="1:9" ht="15.75" thickBot="1" x14ac:dyDescent="0.3">
      <c r="A6696" s="140" t="s">
        <v>46</v>
      </c>
      <c r="B6696" s="53">
        <v>44171</v>
      </c>
      <c r="C6696" s="4">
        <v>61</v>
      </c>
      <c r="D6696" s="29">
        <f t="shared" si="559"/>
        <v>16745</v>
      </c>
      <c r="E6696" s="4">
        <v>1</v>
      </c>
      <c r="F6696" s="129">
        <f t="shared" si="560"/>
        <v>238</v>
      </c>
    </row>
    <row r="6697" spans="1:9" ht="15.75" thickBot="1" x14ac:dyDescent="0.3">
      <c r="A6697" s="141" t="s">
        <v>47</v>
      </c>
      <c r="B6697" s="53">
        <v>44171</v>
      </c>
      <c r="C6697" s="4">
        <v>81</v>
      </c>
      <c r="D6697" s="132">
        <f t="shared" si="559"/>
        <v>67264</v>
      </c>
      <c r="E6697" s="4">
        <v>0</v>
      </c>
      <c r="F6697" s="130">
        <f t="shared" si="560"/>
        <v>1247</v>
      </c>
    </row>
    <row r="6698" spans="1:9" ht="15.75" thickBot="1" x14ac:dyDescent="0.3">
      <c r="A6698" s="64" t="s">
        <v>22</v>
      </c>
      <c r="B6698" s="53">
        <v>44172</v>
      </c>
      <c r="C6698" s="4">
        <v>693</v>
      </c>
      <c r="D6698" s="131">
        <f t="shared" si="559"/>
        <v>629170</v>
      </c>
      <c r="E6698" s="4">
        <v>53</v>
      </c>
      <c r="F6698" s="128">
        <f t="shared" si="560"/>
        <v>21159</v>
      </c>
      <c r="I6698" s="88"/>
    </row>
    <row r="6699" spans="1:9" ht="15.75" thickBot="1" x14ac:dyDescent="0.3">
      <c r="A6699" s="140" t="s">
        <v>20</v>
      </c>
      <c r="B6699" s="53">
        <v>44172</v>
      </c>
      <c r="C6699" s="4">
        <v>164</v>
      </c>
      <c r="D6699" s="29">
        <f t="shared" si="559"/>
        <v>160837</v>
      </c>
      <c r="E6699" s="4">
        <v>8</v>
      </c>
      <c r="F6699" s="129">
        <f t="shared" si="560"/>
        <v>5270</v>
      </c>
      <c r="I6699" s="88"/>
    </row>
    <row r="6700" spans="1:9" ht="15.75" thickBot="1" x14ac:dyDescent="0.3">
      <c r="A6700" s="140" t="s">
        <v>35</v>
      </c>
      <c r="B6700" s="53">
        <v>44172</v>
      </c>
      <c r="C6700" s="4">
        <v>30</v>
      </c>
      <c r="D6700" s="29">
        <f t="shared" si="559"/>
        <v>2015</v>
      </c>
      <c r="E6700" s="4">
        <v>0</v>
      </c>
      <c r="F6700" s="129">
        <f t="shared" si="560"/>
        <v>17</v>
      </c>
      <c r="I6700" s="88"/>
    </row>
    <row r="6701" spans="1:9" ht="15.75" thickBot="1" x14ac:dyDescent="0.3">
      <c r="A6701" s="140" t="s">
        <v>21</v>
      </c>
      <c r="B6701" s="53">
        <v>44172</v>
      </c>
      <c r="C6701" s="4">
        <v>96</v>
      </c>
      <c r="D6701" s="29">
        <f t="shared" si="559"/>
        <v>20826</v>
      </c>
      <c r="E6701" s="4">
        <v>0</v>
      </c>
      <c r="F6701" s="129">
        <f t="shared" si="560"/>
        <v>590</v>
      </c>
      <c r="I6701" s="88"/>
    </row>
    <row r="6702" spans="1:9" ht="15.75" thickBot="1" x14ac:dyDescent="0.3">
      <c r="A6702" s="140" t="s">
        <v>36</v>
      </c>
      <c r="B6702" s="53">
        <v>44172</v>
      </c>
      <c r="C6702" s="4">
        <v>161</v>
      </c>
      <c r="D6702" s="29">
        <f t="shared" si="559"/>
        <v>24649</v>
      </c>
      <c r="E6702" s="4">
        <v>7</v>
      </c>
      <c r="F6702" s="129">
        <f t="shared" si="560"/>
        <v>407</v>
      </c>
      <c r="I6702" s="88"/>
    </row>
    <row r="6703" spans="1:9" ht="15.75" thickBot="1" x14ac:dyDescent="0.3">
      <c r="A6703" s="140" t="s">
        <v>27</v>
      </c>
      <c r="B6703" s="53">
        <v>44172</v>
      </c>
      <c r="C6703" s="4">
        <v>95</v>
      </c>
      <c r="D6703" s="29">
        <f t="shared" si="559"/>
        <v>117607</v>
      </c>
      <c r="E6703" s="4">
        <v>9</v>
      </c>
      <c r="F6703" s="129">
        <f t="shared" si="560"/>
        <v>2098</v>
      </c>
      <c r="I6703" s="88"/>
    </row>
    <row r="6704" spans="1:9" ht="15.75" thickBot="1" x14ac:dyDescent="0.3">
      <c r="A6704" s="140" t="s">
        <v>37</v>
      </c>
      <c r="B6704" s="53">
        <v>44172</v>
      </c>
      <c r="C6704" s="4">
        <v>185</v>
      </c>
      <c r="D6704" s="29">
        <f t="shared" si="559"/>
        <v>8862</v>
      </c>
      <c r="E6704" s="4">
        <v>7</v>
      </c>
      <c r="F6704" s="129">
        <f t="shared" si="560"/>
        <v>111</v>
      </c>
      <c r="I6704" s="88"/>
    </row>
    <row r="6705" spans="1:9" ht="15.75" thickBot="1" x14ac:dyDescent="0.3">
      <c r="A6705" s="140" t="s">
        <v>38</v>
      </c>
      <c r="B6705" s="53">
        <v>44172</v>
      </c>
      <c r="C6705" s="4">
        <v>55</v>
      </c>
      <c r="D6705" s="29">
        <f t="shared" si="559"/>
        <v>24575</v>
      </c>
      <c r="E6705" s="4">
        <v>5</v>
      </c>
      <c r="F6705" s="129">
        <f t="shared" si="560"/>
        <v>492</v>
      </c>
      <c r="I6705" s="88"/>
    </row>
    <row r="6706" spans="1:9" ht="15.75" thickBot="1" x14ac:dyDescent="0.3">
      <c r="A6706" s="140" t="s">
        <v>48</v>
      </c>
      <c r="B6706" s="53">
        <v>44172</v>
      </c>
      <c r="C6706" s="4">
        <v>0</v>
      </c>
      <c r="D6706" s="29">
        <f t="shared" si="559"/>
        <v>189</v>
      </c>
      <c r="E6706" s="4">
        <v>0</v>
      </c>
      <c r="F6706" s="129">
        <f t="shared" si="560"/>
        <v>3</v>
      </c>
      <c r="I6706" s="88"/>
    </row>
    <row r="6707" spans="1:9" ht="15.75" thickBot="1" x14ac:dyDescent="0.3">
      <c r="A6707" s="140" t="s">
        <v>39</v>
      </c>
      <c r="B6707" s="53">
        <v>44172</v>
      </c>
      <c r="C6707" s="4">
        <v>1</v>
      </c>
      <c r="D6707" s="29">
        <f t="shared" si="559"/>
        <v>18416</v>
      </c>
      <c r="E6707" s="4">
        <v>1</v>
      </c>
      <c r="F6707" s="129">
        <f t="shared" si="560"/>
        <v>852</v>
      </c>
      <c r="I6707" s="88"/>
    </row>
    <row r="6708" spans="1:9" ht="15.75" thickBot="1" x14ac:dyDescent="0.3">
      <c r="A6708" s="140" t="s">
        <v>40</v>
      </c>
      <c r="B6708" s="53">
        <v>44172</v>
      </c>
      <c r="C6708" s="4">
        <v>58</v>
      </c>
      <c r="D6708" s="29">
        <f t="shared" si="559"/>
        <v>6338</v>
      </c>
      <c r="E6708" s="4">
        <v>7</v>
      </c>
      <c r="F6708" s="129">
        <f t="shared" si="560"/>
        <v>95</v>
      </c>
      <c r="I6708" s="88"/>
    </row>
    <row r="6709" spans="1:9" ht="15.75" thickBot="1" x14ac:dyDescent="0.3">
      <c r="A6709" s="140" t="s">
        <v>28</v>
      </c>
      <c r="B6709" s="53">
        <v>44172</v>
      </c>
      <c r="C6709" s="4">
        <v>19</v>
      </c>
      <c r="D6709" s="29">
        <f t="shared" si="559"/>
        <v>8858</v>
      </c>
      <c r="E6709" s="4">
        <v>0</v>
      </c>
      <c r="F6709" s="129">
        <f t="shared" si="560"/>
        <v>321</v>
      </c>
      <c r="I6709" s="88"/>
    </row>
    <row r="6710" spans="1:9" ht="15.75" thickBot="1" x14ac:dyDescent="0.3">
      <c r="A6710" s="140" t="s">
        <v>24</v>
      </c>
      <c r="B6710" s="53">
        <v>44172</v>
      </c>
      <c r="C6710" s="4">
        <v>32</v>
      </c>
      <c r="D6710" s="29">
        <f t="shared" si="559"/>
        <v>57600</v>
      </c>
      <c r="E6710" s="4">
        <v>1</v>
      </c>
      <c r="F6710" s="129">
        <f t="shared" si="560"/>
        <v>1144</v>
      </c>
      <c r="I6710" s="88"/>
    </row>
    <row r="6711" spans="1:9" ht="15.75" thickBot="1" x14ac:dyDescent="0.3">
      <c r="A6711" s="140" t="s">
        <v>30</v>
      </c>
      <c r="B6711" s="53">
        <v>44172</v>
      </c>
      <c r="C6711" s="4">
        <v>6</v>
      </c>
      <c r="D6711" s="29">
        <f t="shared" si="559"/>
        <v>579</v>
      </c>
      <c r="E6711" s="4">
        <v>0</v>
      </c>
      <c r="F6711" s="129">
        <f t="shared" si="560"/>
        <v>9</v>
      </c>
      <c r="I6711" s="88"/>
    </row>
    <row r="6712" spans="1:9" ht="15.75" thickBot="1" x14ac:dyDescent="0.3">
      <c r="A6712" s="140" t="s">
        <v>26</v>
      </c>
      <c r="B6712" s="53">
        <v>44172</v>
      </c>
      <c r="C6712" s="4">
        <v>473</v>
      </c>
      <c r="D6712" s="29">
        <f t="shared" si="559"/>
        <v>35112</v>
      </c>
      <c r="E6712" s="4">
        <v>1</v>
      </c>
      <c r="F6712" s="129">
        <f t="shared" si="560"/>
        <v>658</v>
      </c>
      <c r="I6712" s="88"/>
    </row>
    <row r="6713" spans="1:9" ht="15.75" thickBot="1" x14ac:dyDescent="0.3">
      <c r="A6713" s="140" t="s">
        <v>25</v>
      </c>
      <c r="B6713" s="53">
        <v>44172</v>
      </c>
      <c r="C6713" s="4">
        <v>93</v>
      </c>
      <c r="D6713" s="29">
        <f t="shared" si="559"/>
        <v>32971</v>
      </c>
      <c r="E6713" s="4">
        <v>0</v>
      </c>
      <c r="F6713" s="129">
        <f t="shared" si="560"/>
        <v>803</v>
      </c>
      <c r="I6713" s="88"/>
    </row>
    <row r="6714" spans="1:9" ht="15.75" thickBot="1" x14ac:dyDescent="0.3">
      <c r="A6714" s="140" t="s">
        <v>41</v>
      </c>
      <c r="B6714" s="53">
        <v>44172</v>
      </c>
      <c r="C6714" s="4">
        <v>13</v>
      </c>
      <c r="D6714" s="29">
        <f t="shared" si="559"/>
        <v>21431</v>
      </c>
      <c r="E6714" s="4">
        <v>0</v>
      </c>
      <c r="F6714" s="129">
        <f t="shared" si="560"/>
        <v>1006</v>
      </c>
      <c r="I6714" s="88"/>
    </row>
    <row r="6715" spans="1:9" ht="15.75" thickBot="1" x14ac:dyDescent="0.3">
      <c r="A6715" s="140" t="s">
        <v>42</v>
      </c>
      <c r="B6715" s="53">
        <v>44172</v>
      </c>
      <c r="C6715" s="4">
        <v>35</v>
      </c>
      <c r="D6715" s="29">
        <f t="shared" si="559"/>
        <v>8499</v>
      </c>
      <c r="E6715" s="4">
        <v>0</v>
      </c>
      <c r="F6715" s="129">
        <f t="shared" si="560"/>
        <v>173</v>
      </c>
      <c r="I6715" s="88"/>
    </row>
    <row r="6716" spans="1:9" ht="15.75" thickBot="1" x14ac:dyDescent="0.3">
      <c r="A6716" s="140" t="s">
        <v>43</v>
      </c>
      <c r="B6716" s="53">
        <v>44172</v>
      </c>
      <c r="C6716" s="4">
        <v>43</v>
      </c>
      <c r="D6716" s="29">
        <f t="shared" si="559"/>
        <v>15144</v>
      </c>
      <c r="E6716" s="4">
        <v>0</v>
      </c>
      <c r="F6716" s="129">
        <f t="shared" si="560"/>
        <v>236</v>
      </c>
      <c r="I6716" s="88"/>
    </row>
    <row r="6717" spans="1:9" ht="15.75" thickBot="1" x14ac:dyDescent="0.3">
      <c r="A6717" s="140" t="s">
        <v>44</v>
      </c>
      <c r="B6717" s="53">
        <v>44172</v>
      </c>
      <c r="C6717" s="4">
        <v>119</v>
      </c>
      <c r="D6717" s="29">
        <f t="shared" si="559"/>
        <v>17416</v>
      </c>
      <c r="E6717" s="4">
        <v>5</v>
      </c>
      <c r="F6717" s="129">
        <f t="shared" si="560"/>
        <v>308</v>
      </c>
      <c r="I6717" s="88"/>
    </row>
    <row r="6718" spans="1:9" ht="15.75" thickBot="1" x14ac:dyDescent="0.3">
      <c r="A6718" s="140" t="s">
        <v>29</v>
      </c>
      <c r="B6718" s="53">
        <v>44172</v>
      </c>
      <c r="C6718" s="4">
        <v>576</v>
      </c>
      <c r="D6718" s="29">
        <f t="shared" si="559"/>
        <v>154795</v>
      </c>
      <c r="E6718" s="4">
        <v>14</v>
      </c>
      <c r="F6718" s="129">
        <f t="shared" si="560"/>
        <v>2424</v>
      </c>
      <c r="I6718" s="88"/>
    </row>
    <row r="6719" spans="1:9" ht="15.75" thickBot="1" x14ac:dyDescent="0.3">
      <c r="A6719" s="140" t="s">
        <v>45</v>
      </c>
      <c r="B6719" s="53">
        <v>44172</v>
      </c>
      <c r="C6719" s="4">
        <v>57</v>
      </c>
      <c r="D6719" s="29">
        <f t="shared" si="559"/>
        <v>16216</v>
      </c>
      <c r="E6719" s="4">
        <v>0</v>
      </c>
      <c r="F6719" s="129">
        <f t="shared" si="560"/>
        <v>200</v>
      </c>
      <c r="I6719" s="88"/>
    </row>
    <row r="6720" spans="1:9" ht="15.75" thickBot="1" x14ac:dyDescent="0.3">
      <c r="A6720" s="140" t="s">
        <v>46</v>
      </c>
      <c r="B6720" s="53">
        <v>44172</v>
      </c>
      <c r="C6720" s="4">
        <v>109</v>
      </c>
      <c r="D6720" s="29">
        <f t="shared" si="559"/>
        <v>16854</v>
      </c>
      <c r="E6720" s="4">
        <v>0</v>
      </c>
      <c r="F6720" s="129">
        <f t="shared" si="560"/>
        <v>238</v>
      </c>
      <c r="I6720" s="88"/>
    </row>
    <row r="6721" spans="1:6" ht="15.75" thickBot="1" x14ac:dyDescent="0.3">
      <c r="A6721" s="141" t="s">
        <v>47</v>
      </c>
      <c r="B6721" s="53">
        <v>44172</v>
      </c>
      <c r="C6721" s="4">
        <v>86</v>
      </c>
      <c r="D6721" s="132">
        <f t="shared" ref="D6721:D6752" si="561">C6721+D6697</f>
        <v>67350</v>
      </c>
      <c r="E6721" s="4">
        <v>0</v>
      </c>
      <c r="F6721" s="130">
        <f t="shared" si="560"/>
        <v>1247</v>
      </c>
    </row>
    <row r="6722" spans="1:6" ht="15.75" thickBot="1" x14ac:dyDescent="0.3">
      <c r="A6722" s="61" t="s">
        <v>22</v>
      </c>
      <c r="B6722" s="53">
        <v>44173</v>
      </c>
      <c r="C6722" s="4">
        <v>836</v>
      </c>
      <c r="D6722" s="131">
        <f t="shared" si="559"/>
        <v>630006</v>
      </c>
      <c r="E6722" s="4">
        <v>39</v>
      </c>
      <c r="F6722" s="128">
        <f t="shared" si="560"/>
        <v>21198</v>
      </c>
    </row>
    <row r="6723" spans="1:6" ht="15.75" thickBot="1" x14ac:dyDescent="0.3">
      <c r="A6723" s="61" t="s">
        <v>20</v>
      </c>
      <c r="B6723" s="53">
        <v>44173</v>
      </c>
      <c r="C6723" s="4">
        <v>159</v>
      </c>
      <c r="D6723" s="29">
        <f t="shared" si="559"/>
        <v>160996</v>
      </c>
      <c r="E6723" s="4">
        <v>3</v>
      </c>
      <c r="F6723" s="129">
        <f t="shared" si="560"/>
        <v>5273</v>
      </c>
    </row>
    <row r="6724" spans="1:6" ht="15.75" thickBot="1" x14ac:dyDescent="0.3">
      <c r="A6724" s="61" t="s">
        <v>35</v>
      </c>
      <c r="B6724" s="53">
        <v>44173</v>
      </c>
      <c r="C6724" s="4">
        <v>12</v>
      </c>
      <c r="D6724" s="29">
        <f t="shared" si="559"/>
        <v>2027</v>
      </c>
      <c r="E6724" s="4">
        <v>0</v>
      </c>
      <c r="F6724" s="129">
        <f t="shared" si="560"/>
        <v>17</v>
      </c>
    </row>
    <row r="6725" spans="1:6" ht="15.75" thickBot="1" x14ac:dyDescent="0.3">
      <c r="A6725" s="61" t="s">
        <v>21</v>
      </c>
      <c r="B6725" s="53">
        <v>44173</v>
      </c>
      <c r="C6725" s="4">
        <v>59</v>
      </c>
      <c r="D6725" s="29">
        <f t="shared" si="559"/>
        <v>20885</v>
      </c>
      <c r="E6725" s="4">
        <v>10</v>
      </c>
      <c r="F6725" s="129">
        <f t="shared" si="560"/>
        <v>600</v>
      </c>
    </row>
    <row r="6726" spans="1:6" ht="15.75" thickBot="1" x14ac:dyDescent="0.3">
      <c r="A6726" s="61" t="s">
        <v>36</v>
      </c>
      <c r="B6726" s="53">
        <v>44173</v>
      </c>
      <c r="C6726" s="4">
        <v>121</v>
      </c>
      <c r="D6726" s="29">
        <f t="shared" si="559"/>
        <v>24770</v>
      </c>
      <c r="E6726" s="4">
        <v>4</v>
      </c>
      <c r="F6726" s="129">
        <f t="shared" si="560"/>
        <v>411</v>
      </c>
    </row>
    <row r="6727" spans="1:6" ht="15.75" thickBot="1" x14ac:dyDescent="0.3">
      <c r="A6727" s="61" t="s">
        <v>27</v>
      </c>
      <c r="B6727" s="53">
        <v>44173</v>
      </c>
      <c r="C6727" s="4">
        <v>241</v>
      </c>
      <c r="D6727" s="29">
        <f t="shared" si="559"/>
        <v>117848</v>
      </c>
      <c r="E6727" s="4">
        <v>19</v>
      </c>
      <c r="F6727" s="129">
        <f t="shared" si="560"/>
        <v>2117</v>
      </c>
    </row>
    <row r="6728" spans="1:6" ht="15.75" thickBot="1" x14ac:dyDescent="0.3">
      <c r="A6728" s="61" t="s">
        <v>37</v>
      </c>
      <c r="B6728" s="53">
        <v>44173</v>
      </c>
      <c r="C6728" s="4">
        <v>127</v>
      </c>
      <c r="D6728" s="29">
        <f t="shared" si="559"/>
        <v>8989</v>
      </c>
      <c r="E6728" s="4">
        <v>9</v>
      </c>
      <c r="F6728" s="129">
        <f t="shared" si="560"/>
        <v>120</v>
      </c>
    </row>
    <row r="6729" spans="1:6" ht="15.75" thickBot="1" x14ac:dyDescent="0.3">
      <c r="A6729" s="61" t="s">
        <v>38</v>
      </c>
      <c r="B6729" s="53">
        <v>44173</v>
      </c>
      <c r="C6729" s="4">
        <v>137</v>
      </c>
      <c r="D6729" s="29">
        <f t="shared" si="559"/>
        <v>24712</v>
      </c>
      <c r="E6729" s="4">
        <v>6</v>
      </c>
      <c r="F6729" s="129">
        <f t="shared" si="560"/>
        <v>498</v>
      </c>
    </row>
    <row r="6730" spans="1:6" ht="15.75" thickBot="1" x14ac:dyDescent="0.3">
      <c r="A6730" s="61" t="s">
        <v>48</v>
      </c>
      <c r="B6730" s="53">
        <v>44173</v>
      </c>
      <c r="C6730" s="4">
        <v>4</v>
      </c>
      <c r="D6730" s="29">
        <f t="shared" si="559"/>
        <v>193</v>
      </c>
      <c r="E6730" s="4">
        <v>0</v>
      </c>
      <c r="F6730" s="129">
        <f t="shared" si="560"/>
        <v>3</v>
      </c>
    </row>
    <row r="6731" spans="1:6" ht="15.75" thickBot="1" x14ac:dyDescent="0.3">
      <c r="A6731" s="61" t="s">
        <v>39</v>
      </c>
      <c r="B6731" s="53">
        <v>44173</v>
      </c>
      <c r="C6731" s="4">
        <v>9</v>
      </c>
      <c r="D6731" s="29">
        <f t="shared" si="559"/>
        <v>18425</v>
      </c>
      <c r="E6731" s="4">
        <v>0</v>
      </c>
      <c r="F6731" s="129">
        <f t="shared" si="560"/>
        <v>852</v>
      </c>
    </row>
    <row r="6732" spans="1:6" ht="15.75" thickBot="1" x14ac:dyDescent="0.3">
      <c r="A6732" s="61" t="s">
        <v>40</v>
      </c>
      <c r="B6732" s="53">
        <v>44173</v>
      </c>
      <c r="C6732" s="4">
        <v>62</v>
      </c>
      <c r="D6732" s="29">
        <f t="shared" si="559"/>
        <v>6400</v>
      </c>
      <c r="E6732" s="4">
        <v>0</v>
      </c>
      <c r="F6732" s="129">
        <f t="shared" si="560"/>
        <v>95</v>
      </c>
    </row>
    <row r="6733" spans="1:6" ht="15.75" thickBot="1" x14ac:dyDescent="0.3">
      <c r="A6733" s="61" t="s">
        <v>28</v>
      </c>
      <c r="B6733" s="53">
        <v>44173</v>
      </c>
      <c r="C6733" s="4">
        <v>7</v>
      </c>
      <c r="D6733" s="29">
        <f t="shared" si="559"/>
        <v>8865</v>
      </c>
      <c r="E6733" s="4">
        <v>1</v>
      </c>
      <c r="F6733" s="129">
        <f t="shared" si="560"/>
        <v>322</v>
      </c>
    </row>
    <row r="6734" spans="1:6" ht="15.75" thickBot="1" x14ac:dyDescent="0.3">
      <c r="A6734" s="61" t="s">
        <v>24</v>
      </c>
      <c r="B6734" s="53">
        <v>44173</v>
      </c>
      <c r="C6734" s="4">
        <v>32</v>
      </c>
      <c r="D6734" s="29">
        <f t="shared" si="559"/>
        <v>57632</v>
      </c>
      <c r="E6734" s="4">
        <v>2</v>
      </c>
      <c r="F6734" s="129">
        <f t="shared" si="560"/>
        <v>1146</v>
      </c>
    </row>
    <row r="6735" spans="1:6" ht="15.75" thickBot="1" x14ac:dyDescent="0.3">
      <c r="A6735" s="61" t="s">
        <v>30</v>
      </c>
      <c r="B6735" s="53">
        <v>44173</v>
      </c>
      <c r="C6735" s="4">
        <v>11</v>
      </c>
      <c r="D6735" s="29">
        <f t="shared" si="559"/>
        <v>590</v>
      </c>
      <c r="E6735" s="4">
        <v>0</v>
      </c>
      <c r="F6735" s="129">
        <f t="shared" si="560"/>
        <v>9</v>
      </c>
    </row>
    <row r="6736" spans="1:6" ht="15.75" thickBot="1" x14ac:dyDescent="0.3">
      <c r="A6736" s="61" t="s">
        <v>26</v>
      </c>
      <c r="B6736" s="53">
        <v>44173</v>
      </c>
      <c r="C6736" s="4">
        <v>477</v>
      </c>
      <c r="D6736" s="29">
        <f t="shared" si="559"/>
        <v>35589</v>
      </c>
      <c r="E6736" s="4">
        <v>1</v>
      </c>
      <c r="F6736" s="129">
        <f t="shared" si="560"/>
        <v>659</v>
      </c>
    </row>
    <row r="6737" spans="1:10" ht="15.75" thickBot="1" x14ac:dyDescent="0.3">
      <c r="A6737" s="61" t="s">
        <v>25</v>
      </c>
      <c r="B6737" s="53">
        <v>44173</v>
      </c>
      <c r="C6737" s="4">
        <v>137</v>
      </c>
      <c r="D6737" s="29">
        <f t="shared" si="559"/>
        <v>33108</v>
      </c>
      <c r="E6737" s="4">
        <v>2</v>
      </c>
      <c r="F6737" s="129">
        <f t="shared" si="560"/>
        <v>805</v>
      </c>
    </row>
    <row r="6738" spans="1:10" ht="15.75" thickBot="1" x14ac:dyDescent="0.3">
      <c r="A6738" s="61" t="s">
        <v>41</v>
      </c>
      <c r="B6738" s="53">
        <v>44173</v>
      </c>
      <c r="C6738" s="4">
        <v>7</v>
      </c>
      <c r="D6738" s="29">
        <f t="shared" si="559"/>
        <v>21438</v>
      </c>
      <c r="E6738" s="4">
        <v>0</v>
      </c>
      <c r="F6738" s="129">
        <f t="shared" si="560"/>
        <v>1006</v>
      </c>
    </row>
    <row r="6739" spans="1:10" ht="15.75" thickBot="1" x14ac:dyDescent="0.3">
      <c r="A6739" s="61" t="s">
        <v>42</v>
      </c>
      <c r="B6739" s="53">
        <v>44173</v>
      </c>
      <c r="C6739" s="4">
        <v>107</v>
      </c>
      <c r="D6739" s="29">
        <f t="shared" si="559"/>
        <v>8606</v>
      </c>
      <c r="E6739" s="4">
        <v>0</v>
      </c>
      <c r="F6739" s="129">
        <f t="shared" si="560"/>
        <v>173</v>
      </c>
    </row>
    <row r="6740" spans="1:10" ht="15.75" thickBot="1" x14ac:dyDescent="0.3">
      <c r="A6740" s="61" t="s">
        <v>43</v>
      </c>
      <c r="B6740" s="53">
        <v>44173</v>
      </c>
      <c r="C6740" s="4">
        <v>87</v>
      </c>
      <c r="D6740" s="29">
        <f t="shared" si="559"/>
        <v>15231</v>
      </c>
      <c r="E6740" s="4">
        <v>0</v>
      </c>
      <c r="F6740" s="129">
        <f t="shared" si="560"/>
        <v>236</v>
      </c>
    </row>
    <row r="6741" spans="1:10" ht="15.75" thickBot="1" x14ac:dyDescent="0.3">
      <c r="A6741" s="61" t="s">
        <v>44</v>
      </c>
      <c r="B6741" s="53">
        <v>44173</v>
      </c>
      <c r="C6741" s="4">
        <v>238</v>
      </c>
      <c r="D6741" s="29">
        <f t="shared" si="559"/>
        <v>17654</v>
      </c>
      <c r="E6741" s="4">
        <v>2</v>
      </c>
      <c r="F6741" s="129">
        <f t="shared" si="560"/>
        <v>310</v>
      </c>
    </row>
    <row r="6742" spans="1:10" ht="15.75" thickBot="1" x14ac:dyDescent="0.3">
      <c r="A6742" s="61" t="s">
        <v>29</v>
      </c>
      <c r="B6742" s="53">
        <v>44173</v>
      </c>
      <c r="C6742" s="4">
        <v>559</v>
      </c>
      <c r="D6742" s="29">
        <f t="shared" si="559"/>
        <v>155354</v>
      </c>
      <c r="E6742" s="4">
        <v>21</v>
      </c>
      <c r="F6742" s="129">
        <f t="shared" si="560"/>
        <v>2445</v>
      </c>
    </row>
    <row r="6743" spans="1:10" ht="15.75" thickBot="1" x14ac:dyDescent="0.3">
      <c r="A6743" s="61" t="s">
        <v>45</v>
      </c>
      <c r="B6743" s="53">
        <v>44173</v>
      </c>
      <c r="C6743" s="4">
        <v>23</v>
      </c>
      <c r="D6743" s="29">
        <f t="shared" si="559"/>
        <v>16239</v>
      </c>
      <c r="E6743" s="4">
        <v>1</v>
      </c>
      <c r="F6743" s="129">
        <f t="shared" si="560"/>
        <v>201</v>
      </c>
    </row>
    <row r="6744" spans="1:10" ht="15.75" thickBot="1" x14ac:dyDescent="0.3">
      <c r="A6744" s="61" t="s">
        <v>46</v>
      </c>
      <c r="B6744" s="53">
        <v>44173</v>
      </c>
      <c r="C6744" s="4">
        <v>65</v>
      </c>
      <c r="D6744" s="29">
        <f t="shared" si="559"/>
        <v>16919</v>
      </c>
      <c r="E6744" s="4">
        <v>1</v>
      </c>
      <c r="F6744" s="129">
        <f t="shared" si="560"/>
        <v>239</v>
      </c>
    </row>
    <row r="6745" spans="1:10" ht="15.75" thickBot="1" x14ac:dyDescent="0.3">
      <c r="A6745" s="61" t="s">
        <v>47</v>
      </c>
      <c r="B6745" s="53">
        <v>44173</v>
      </c>
      <c r="C6745" s="4">
        <v>93</v>
      </c>
      <c r="D6745" s="132">
        <f t="shared" si="561"/>
        <v>67443</v>
      </c>
      <c r="E6745" s="4">
        <v>0</v>
      </c>
      <c r="F6745" s="130">
        <f t="shared" si="560"/>
        <v>1247</v>
      </c>
    </row>
    <row r="6746" spans="1:10" ht="15.75" thickBot="1" x14ac:dyDescent="0.3">
      <c r="A6746" s="61" t="s">
        <v>22</v>
      </c>
      <c r="B6746" s="53">
        <v>44174</v>
      </c>
      <c r="C6746" s="4">
        <v>1460</v>
      </c>
      <c r="D6746" s="131">
        <f t="shared" si="559"/>
        <v>631466</v>
      </c>
      <c r="E6746" s="4">
        <v>67</v>
      </c>
      <c r="F6746" s="128">
        <f t="shared" si="560"/>
        <v>21265</v>
      </c>
      <c r="J6746" s="88"/>
    </row>
    <row r="6747" spans="1:10" ht="15.75" thickBot="1" x14ac:dyDescent="0.3">
      <c r="A6747" s="61" t="s">
        <v>20</v>
      </c>
      <c r="B6747" s="53">
        <v>44174</v>
      </c>
      <c r="C6747" s="4">
        <v>334</v>
      </c>
      <c r="D6747" s="29">
        <f t="shared" si="559"/>
        <v>161330</v>
      </c>
      <c r="E6747" s="4">
        <v>16</v>
      </c>
      <c r="F6747" s="129">
        <f t="shared" si="560"/>
        <v>5289</v>
      </c>
      <c r="J6747" s="88"/>
    </row>
    <row r="6748" spans="1:10" ht="15.75" thickBot="1" x14ac:dyDescent="0.3">
      <c r="A6748" s="61" t="s">
        <v>35</v>
      </c>
      <c r="B6748" s="53">
        <v>44174</v>
      </c>
      <c r="C6748" s="4">
        <v>3</v>
      </c>
      <c r="D6748" s="29">
        <f t="shared" si="559"/>
        <v>2030</v>
      </c>
      <c r="E6748" s="4">
        <v>0</v>
      </c>
      <c r="F6748" s="129">
        <f t="shared" si="560"/>
        <v>17</v>
      </c>
      <c r="J6748" s="88"/>
    </row>
    <row r="6749" spans="1:10" ht="15.75" thickBot="1" x14ac:dyDescent="0.3">
      <c r="A6749" s="61" t="s">
        <v>21</v>
      </c>
      <c r="B6749" s="53">
        <v>44174</v>
      </c>
      <c r="C6749" s="4">
        <v>151</v>
      </c>
      <c r="D6749" s="29">
        <f t="shared" si="559"/>
        <v>21036</v>
      </c>
      <c r="E6749" s="4">
        <v>4</v>
      </c>
      <c r="F6749" s="129">
        <f t="shared" si="560"/>
        <v>604</v>
      </c>
      <c r="J6749" s="88"/>
    </row>
    <row r="6750" spans="1:10" ht="15.75" thickBot="1" x14ac:dyDescent="0.3">
      <c r="A6750" s="61" t="s">
        <v>36</v>
      </c>
      <c r="B6750" s="53">
        <v>44174</v>
      </c>
      <c r="C6750" s="4">
        <v>266</v>
      </c>
      <c r="D6750" s="29">
        <f t="shared" si="559"/>
        <v>25036</v>
      </c>
      <c r="E6750" s="4">
        <v>0</v>
      </c>
      <c r="F6750" s="129">
        <f t="shared" si="560"/>
        <v>411</v>
      </c>
      <c r="J6750" s="88"/>
    </row>
    <row r="6751" spans="1:10" ht="15.75" thickBot="1" x14ac:dyDescent="0.3">
      <c r="A6751" s="61" t="s">
        <v>27</v>
      </c>
      <c r="B6751" s="53">
        <v>44174</v>
      </c>
      <c r="C6751" s="4">
        <v>251</v>
      </c>
      <c r="D6751" s="29">
        <f t="shared" si="559"/>
        <v>118099</v>
      </c>
      <c r="E6751" s="4">
        <v>24</v>
      </c>
      <c r="F6751" s="129">
        <f t="shared" si="560"/>
        <v>2141</v>
      </c>
      <c r="J6751" s="88"/>
    </row>
    <row r="6752" spans="1:10" ht="15.75" thickBot="1" x14ac:dyDescent="0.3">
      <c r="A6752" s="61" t="s">
        <v>37</v>
      </c>
      <c r="B6752" s="53">
        <v>44174</v>
      </c>
      <c r="C6752" s="4">
        <v>61</v>
      </c>
      <c r="D6752" s="29">
        <f t="shared" si="559"/>
        <v>9050</v>
      </c>
      <c r="E6752" s="4">
        <v>10</v>
      </c>
      <c r="F6752" s="129">
        <f t="shared" si="560"/>
        <v>130</v>
      </c>
      <c r="J6752" s="88"/>
    </row>
    <row r="6753" spans="1:10" ht="15.75" thickBot="1" x14ac:dyDescent="0.3">
      <c r="A6753" s="61" t="s">
        <v>38</v>
      </c>
      <c r="B6753" s="53">
        <v>44174</v>
      </c>
      <c r="C6753" s="4">
        <v>103</v>
      </c>
      <c r="D6753" s="29">
        <f t="shared" ref="D6753:D6769" si="562">C6753+D6729</f>
        <v>24815</v>
      </c>
      <c r="E6753" s="4">
        <v>7</v>
      </c>
      <c r="F6753" s="129">
        <f t="shared" si="560"/>
        <v>505</v>
      </c>
      <c r="J6753" s="88"/>
    </row>
    <row r="6754" spans="1:10" ht="15.75" thickBot="1" x14ac:dyDescent="0.3">
      <c r="A6754" s="61" t="s">
        <v>48</v>
      </c>
      <c r="B6754" s="53">
        <v>44174</v>
      </c>
      <c r="C6754" s="4">
        <v>4</v>
      </c>
      <c r="D6754" s="29">
        <f t="shared" si="562"/>
        <v>197</v>
      </c>
      <c r="E6754" s="4">
        <v>0</v>
      </c>
      <c r="F6754" s="129">
        <f t="shared" ref="F6754:F6769" si="563">E6754+F6730</f>
        <v>3</v>
      </c>
      <c r="J6754" s="88"/>
    </row>
    <row r="6755" spans="1:10" ht="15.75" thickBot="1" x14ac:dyDescent="0.3">
      <c r="A6755" s="61" t="s">
        <v>39</v>
      </c>
      <c r="B6755" s="53">
        <v>44174</v>
      </c>
      <c r="C6755" s="4">
        <v>4</v>
      </c>
      <c r="D6755" s="29">
        <f t="shared" si="562"/>
        <v>18429</v>
      </c>
      <c r="E6755" s="4">
        <v>0</v>
      </c>
      <c r="F6755" s="129">
        <f t="shared" si="563"/>
        <v>852</v>
      </c>
      <c r="J6755" s="88"/>
    </row>
    <row r="6756" spans="1:10" ht="15.75" thickBot="1" x14ac:dyDescent="0.3">
      <c r="A6756" s="61" t="s">
        <v>40</v>
      </c>
      <c r="B6756" s="53">
        <v>44174</v>
      </c>
      <c r="C6756" s="4">
        <v>123</v>
      </c>
      <c r="D6756" s="29">
        <f t="shared" si="562"/>
        <v>6523</v>
      </c>
      <c r="E6756" s="4">
        <v>0</v>
      </c>
      <c r="F6756" s="129">
        <f t="shared" si="563"/>
        <v>95</v>
      </c>
      <c r="J6756" s="88"/>
    </row>
    <row r="6757" spans="1:10" ht="15.75" thickBot="1" x14ac:dyDescent="0.3">
      <c r="A6757" s="61" t="s">
        <v>28</v>
      </c>
      <c r="B6757" s="53">
        <v>44174</v>
      </c>
      <c r="C6757" s="4">
        <v>28</v>
      </c>
      <c r="D6757" s="29">
        <f t="shared" si="562"/>
        <v>8893</v>
      </c>
      <c r="E6757" s="4">
        <v>0</v>
      </c>
      <c r="F6757" s="129">
        <f t="shared" si="563"/>
        <v>322</v>
      </c>
      <c r="J6757" s="88"/>
    </row>
    <row r="6758" spans="1:10" ht="15.75" thickBot="1" x14ac:dyDescent="0.3">
      <c r="A6758" s="61" t="s">
        <v>24</v>
      </c>
      <c r="B6758" s="53">
        <v>44174</v>
      </c>
      <c r="C6758" s="4">
        <v>108</v>
      </c>
      <c r="D6758" s="29">
        <f t="shared" si="562"/>
        <v>57740</v>
      </c>
      <c r="E6758" s="4">
        <v>18</v>
      </c>
      <c r="F6758" s="129">
        <f t="shared" si="563"/>
        <v>1164</v>
      </c>
      <c r="J6758" s="88"/>
    </row>
    <row r="6759" spans="1:10" ht="15.75" thickBot="1" x14ac:dyDescent="0.3">
      <c r="A6759" s="61" t="s">
        <v>30</v>
      </c>
      <c r="B6759" s="53">
        <v>44174</v>
      </c>
      <c r="C6759" s="4">
        <v>18</v>
      </c>
      <c r="D6759" s="29">
        <f t="shared" si="562"/>
        <v>608</v>
      </c>
      <c r="E6759" s="4">
        <v>0</v>
      </c>
      <c r="F6759" s="129">
        <f t="shared" si="563"/>
        <v>9</v>
      </c>
      <c r="J6759" s="88"/>
    </row>
    <row r="6760" spans="1:10" ht="15.75" thickBot="1" x14ac:dyDescent="0.3">
      <c r="A6760" s="61" t="s">
        <v>26</v>
      </c>
      <c r="B6760" s="53">
        <v>44174</v>
      </c>
      <c r="C6760" s="4">
        <v>550</v>
      </c>
      <c r="D6760" s="29">
        <f t="shared" si="562"/>
        <v>36139</v>
      </c>
      <c r="E6760" s="4">
        <v>2</v>
      </c>
      <c r="F6760" s="129">
        <f t="shared" si="563"/>
        <v>661</v>
      </c>
      <c r="J6760" s="88"/>
    </row>
    <row r="6761" spans="1:10" ht="15.75" thickBot="1" x14ac:dyDescent="0.3">
      <c r="A6761" s="61" t="s">
        <v>25</v>
      </c>
      <c r="B6761" s="53">
        <v>44174</v>
      </c>
      <c r="C6761" s="4">
        <v>128</v>
      </c>
      <c r="D6761" s="29">
        <f t="shared" si="562"/>
        <v>33236</v>
      </c>
      <c r="E6761" s="4">
        <v>6</v>
      </c>
      <c r="F6761" s="129">
        <f t="shared" si="563"/>
        <v>811</v>
      </c>
      <c r="J6761" s="88"/>
    </row>
    <row r="6762" spans="1:10" ht="15.75" thickBot="1" x14ac:dyDescent="0.3">
      <c r="A6762" s="61" t="s">
        <v>41</v>
      </c>
      <c r="B6762" s="53">
        <v>44174</v>
      </c>
      <c r="C6762" s="4">
        <v>15</v>
      </c>
      <c r="D6762" s="29">
        <f t="shared" si="562"/>
        <v>21453</v>
      </c>
      <c r="E6762" s="4">
        <v>1</v>
      </c>
      <c r="F6762" s="129">
        <f t="shared" si="563"/>
        <v>1007</v>
      </c>
      <c r="J6762" s="88"/>
    </row>
    <row r="6763" spans="1:10" ht="15.75" thickBot="1" x14ac:dyDescent="0.3">
      <c r="A6763" s="61" t="s">
        <v>42</v>
      </c>
      <c r="B6763" s="53">
        <v>44174</v>
      </c>
      <c r="C6763" s="4">
        <v>197</v>
      </c>
      <c r="D6763" s="29">
        <f t="shared" si="562"/>
        <v>8803</v>
      </c>
      <c r="E6763" s="4">
        <v>1</v>
      </c>
      <c r="F6763" s="129">
        <f t="shared" si="563"/>
        <v>174</v>
      </c>
      <c r="J6763" s="88"/>
    </row>
    <row r="6764" spans="1:10" ht="15.75" thickBot="1" x14ac:dyDescent="0.3">
      <c r="A6764" s="61" t="s">
        <v>43</v>
      </c>
      <c r="B6764" s="53">
        <v>44174</v>
      </c>
      <c r="C6764" s="4">
        <v>56</v>
      </c>
      <c r="D6764" s="29">
        <f t="shared" si="562"/>
        <v>15287</v>
      </c>
      <c r="E6764" s="4">
        <v>3</v>
      </c>
      <c r="F6764" s="129">
        <f t="shared" si="563"/>
        <v>239</v>
      </c>
      <c r="J6764" s="88"/>
    </row>
    <row r="6765" spans="1:10" ht="15.75" thickBot="1" x14ac:dyDescent="0.3">
      <c r="A6765" s="61" t="s">
        <v>44</v>
      </c>
      <c r="B6765" s="53">
        <v>44174</v>
      </c>
      <c r="C6765" s="4">
        <v>135</v>
      </c>
      <c r="D6765" s="29">
        <f t="shared" si="562"/>
        <v>17789</v>
      </c>
      <c r="E6765" s="4">
        <v>4</v>
      </c>
      <c r="F6765" s="129">
        <f t="shared" si="563"/>
        <v>314</v>
      </c>
      <c r="J6765" s="88"/>
    </row>
    <row r="6766" spans="1:10" ht="15.75" thickBot="1" x14ac:dyDescent="0.3">
      <c r="A6766" s="61" t="s">
        <v>29</v>
      </c>
      <c r="B6766" s="53">
        <v>44174</v>
      </c>
      <c r="C6766" s="4">
        <v>996</v>
      </c>
      <c r="D6766" s="29">
        <f t="shared" si="562"/>
        <v>156350</v>
      </c>
      <c r="E6766" s="4">
        <v>37</v>
      </c>
      <c r="F6766" s="129">
        <f t="shared" si="563"/>
        <v>2482</v>
      </c>
      <c r="J6766" s="88"/>
    </row>
    <row r="6767" spans="1:10" ht="15.75" thickBot="1" x14ac:dyDescent="0.3">
      <c r="A6767" s="61" t="s">
        <v>45</v>
      </c>
      <c r="B6767" s="53">
        <v>44174</v>
      </c>
      <c r="C6767" s="4">
        <v>56</v>
      </c>
      <c r="D6767" s="29">
        <f t="shared" si="562"/>
        <v>16295</v>
      </c>
      <c r="E6767" s="4">
        <v>1</v>
      </c>
      <c r="F6767" s="129">
        <f t="shared" si="563"/>
        <v>202</v>
      </c>
      <c r="J6767" s="88"/>
    </row>
    <row r="6768" spans="1:10" ht="15.75" thickBot="1" x14ac:dyDescent="0.3">
      <c r="A6768" s="61" t="s">
        <v>46</v>
      </c>
      <c r="B6768" s="53">
        <v>44174</v>
      </c>
      <c r="C6768" s="4">
        <v>89</v>
      </c>
      <c r="D6768" s="29">
        <f t="shared" si="562"/>
        <v>17008</v>
      </c>
      <c r="E6768" s="4">
        <v>2</v>
      </c>
      <c r="F6768" s="129">
        <f t="shared" si="563"/>
        <v>241</v>
      </c>
      <c r="J6768" s="88"/>
    </row>
    <row r="6769" spans="1:6" ht="15.75" thickBot="1" x14ac:dyDescent="0.3">
      <c r="A6769" s="61" t="s">
        <v>47</v>
      </c>
      <c r="B6769" s="53">
        <v>44174</v>
      </c>
      <c r="C6769" s="4">
        <v>167</v>
      </c>
      <c r="D6769" s="132">
        <f t="shared" si="562"/>
        <v>67610</v>
      </c>
      <c r="E6769" s="4">
        <v>10</v>
      </c>
      <c r="F6769" s="130">
        <f t="shared" si="563"/>
        <v>1257</v>
      </c>
    </row>
  </sheetData>
  <autoFilter ref="A1:E640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133</v>
      </c>
      <c r="C162" s="69" t="s">
        <v>134</v>
      </c>
      <c r="D162" s="69"/>
      <c r="E162" s="69" t="s">
        <v>135</v>
      </c>
      <c r="F162" s="70" t="s">
        <v>129</v>
      </c>
      <c r="H162" s="159" t="s">
        <v>32</v>
      </c>
      <c r="I162" s="159" t="s">
        <v>31</v>
      </c>
      <c r="J162" s="159" t="s">
        <v>150</v>
      </c>
      <c r="K162" s="159" t="s">
        <v>148</v>
      </c>
      <c r="L162" s="159" t="s">
        <v>149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89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89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89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89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89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zoomScaleNormal="100" workbookViewId="0">
      <selection activeCell="D3" sqref="D3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18" t="s">
        <v>145</v>
      </c>
      <c r="D1" s="218"/>
      <c r="E1" s="218"/>
      <c r="F1" s="218"/>
      <c r="G1" s="218"/>
      <c r="H1" s="218"/>
      <c r="K1" s="157">
        <v>547</v>
      </c>
      <c r="M1" s="219" t="s">
        <v>146</v>
      </c>
      <c r="N1" s="219"/>
      <c r="O1" s="219"/>
      <c r="P1" s="219"/>
      <c r="Q1" s="219"/>
      <c r="R1" s="219"/>
      <c r="S1" s="219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144</v>
      </c>
      <c r="G2" s="106" t="s">
        <v>142</v>
      </c>
      <c r="H2" s="107" t="s">
        <v>143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144</v>
      </c>
      <c r="Q2" s="106" t="s">
        <v>142</v>
      </c>
      <c r="R2" s="107" t="s">
        <v>147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141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141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136</v>
      </c>
      <c r="J1" s="88" t="s">
        <v>137</v>
      </c>
      <c r="K1" s="90" t="s">
        <v>18</v>
      </c>
      <c r="L1" s="91" t="s">
        <v>138</v>
      </c>
      <c r="M1" s="91" t="s">
        <v>111</v>
      </c>
      <c r="N1" s="91" t="s">
        <v>112</v>
      </c>
      <c r="O1" s="78" t="s">
        <v>139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132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880F-DAB7-403A-9B71-844DF17E9F27}">
  <dimension ref="A1:X285"/>
  <sheetViews>
    <sheetView topLeftCell="A207" zoomScale="70" zoomScaleNormal="70" workbookViewId="0">
      <selection activeCell="N218" sqref="N218"/>
    </sheetView>
  </sheetViews>
  <sheetFormatPr baseColWidth="10" defaultRowHeight="15" x14ac:dyDescent="0.25"/>
  <cols>
    <col min="1" max="1" width="12.42578125" style="74" customWidth="1"/>
    <col min="2" max="2" width="12" style="95" bestFit="1" customWidth="1"/>
    <col min="3" max="3" width="13.140625" style="95" bestFit="1" customWidth="1"/>
    <col min="4" max="4" width="9.140625" style="95" customWidth="1"/>
    <col min="5" max="5" width="10" style="95" customWidth="1"/>
    <col min="6" max="6" width="13.140625" style="83" customWidth="1"/>
    <col min="7" max="7" width="9.42578125" style="95" customWidth="1"/>
    <col min="8" max="8" width="11.5703125" style="95" bestFit="1" customWidth="1"/>
    <col min="9" max="9" width="13.140625" style="95" bestFit="1" customWidth="1"/>
    <col min="10" max="10" width="12" style="36" customWidth="1"/>
    <col min="11" max="11" width="13.140625" style="36" customWidth="1"/>
    <col min="12" max="12" width="14.140625" style="95" customWidth="1"/>
    <col min="13" max="16" width="11.5703125" style="95" bestFit="1" customWidth="1"/>
    <col min="17" max="17" width="12.5703125" style="95" customWidth="1"/>
    <col min="18" max="18" width="8" style="25" customWidth="1"/>
    <col min="19" max="19" width="11.42578125" style="95"/>
    <col min="20" max="20" width="5.28515625" style="95" customWidth="1"/>
    <col min="21" max="21" width="6.140625" style="95" customWidth="1"/>
    <col min="22" max="22" width="9.28515625" style="95" customWidth="1"/>
    <col min="23" max="23" width="12.7109375" style="95" customWidth="1"/>
    <col min="24" max="24" width="10" style="95" customWidth="1"/>
    <col min="25" max="16384" width="11.42578125" style="95"/>
  </cols>
  <sheetData>
    <row r="1" spans="1:24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151</v>
      </c>
      <c r="R1" s="1" t="s">
        <v>131</v>
      </c>
      <c r="S1" s="4" t="s">
        <v>130</v>
      </c>
      <c r="T1" s="95" t="s">
        <v>155</v>
      </c>
      <c r="U1" s="95" t="s">
        <v>154</v>
      </c>
      <c r="V1" s="95" t="s">
        <v>153</v>
      </c>
      <c r="W1" s="95" t="s">
        <v>152</v>
      </c>
      <c r="X1" s="95" t="s">
        <v>156</v>
      </c>
    </row>
    <row r="2" spans="1:24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24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24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24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24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>F6-F5</f>
        <v>0</v>
      </c>
      <c r="R6" s="1"/>
      <c r="S6" s="4"/>
    </row>
    <row r="7" spans="1:24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>F7-F6</f>
        <v>0</v>
      </c>
      <c r="R7" s="1"/>
      <c r="S7" s="4"/>
    </row>
    <row r="8" spans="1:24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>F8-F7</f>
        <v>0</v>
      </c>
      <c r="R8" s="1"/>
      <c r="S8" s="4"/>
      <c r="X8" s="36">
        <f>AVERAGE(D2:D8)</f>
        <v>0.14285714285714285</v>
      </c>
    </row>
    <row r="9" spans="1:24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>F9-F8</f>
        <v>0</v>
      </c>
      <c r="R9" s="1"/>
      <c r="S9" s="4"/>
      <c r="X9" s="36">
        <f>AVERAGE(D3:D9)</f>
        <v>0.14285714285714285</v>
      </c>
    </row>
    <row r="10" spans="1:24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>F10-F9</f>
        <v>0</v>
      </c>
      <c r="R10" s="1"/>
      <c r="S10" s="4"/>
      <c r="X10" s="36">
        <f>AVERAGE(D4:D10)</f>
        <v>0.14285714285714285</v>
      </c>
    </row>
    <row r="11" spans="1:24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>F11-F10</f>
        <v>0</v>
      </c>
      <c r="R11" s="1"/>
      <c r="S11" s="4"/>
      <c r="X11" s="36">
        <f>AVERAGE(D5:D11)</f>
        <v>0.14285714285714285</v>
      </c>
    </row>
    <row r="12" spans="1:24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>F12-F11</f>
        <v>0</v>
      </c>
      <c r="R12" s="1"/>
      <c r="S12" s="4"/>
      <c r="X12" s="36">
        <f>AVERAGE(D6:D12)</f>
        <v>0.2857142857142857</v>
      </c>
    </row>
    <row r="13" spans="1:24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>F13-F12</f>
        <v>0</v>
      </c>
      <c r="R13" s="1"/>
      <c r="S13" s="4"/>
      <c r="X13" s="36">
        <f>AVERAGE(D7:D13)</f>
        <v>0.14285714285714285</v>
      </c>
    </row>
    <row r="14" spans="1:24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>F14-F13</f>
        <v>0</v>
      </c>
      <c r="R14" s="72">
        <f>G14/(C14-E14-F14)</f>
        <v>0</v>
      </c>
      <c r="S14" s="62">
        <f>E14/C14</f>
        <v>3.5714285714285712E-2</v>
      </c>
      <c r="X14" s="36">
        <f>AVERAGE(D8:D14)</f>
        <v>0.14285714285714285</v>
      </c>
    </row>
    <row r="15" spans="1:24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>F15-F14</f>
        <v>0</v>
      </c>
      <c r="R15" s="72">
        <f>G15/(C15-E15-F15)</f>
        <v>0</v>
      </c>
      <c r="S15" s="62">
        <f>E15/C15</f>
        <v>3.0769230769230771E-2</v>
      </c>
      <c r="X15" s="36">
        <f>AVERAGE(D9:D15)</f>
        <v>0.14285714285714285</v>
      </c>
    </row>
    <row r="16" spans="1:24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>F16-F15</f>
        <v>0</v>
      </c>
      <c r="R16" s="72">
        <f>G16/(C16-E16-F16)</f>
        <v>0</v>
      </c>
      <c r="S16" s="62">
        <f>E16/C16</f>
        <v>2.564102564102564E-2</v>
      </c>
      <c r="X16" s="36">
        <f>AVERAGE(D10:D16)</f>
        <v>0.14285714285714285</v>
      </c>
    </row>
    <row r="17" spans="1:24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>C17-O17-N17-M17</f>
        <v>1</v>
      </c>
      <c r="Q17" s="29">
        <f>F17-F16</f>
        <v>18</v>
      </c>
      <c r="R17" s="72">
        <f>G17/(C17-E17-F17)</f>
        <v>0</v>
      </c>
      <c r="S17" s="62">
        <f>E17/C17</f>
        <v>3.0927835051546393E-2</v>
      </c>
      <c r="X17" s="36">
        <f>AVERAGE(D11:D17)</f>
        <v>0.2857142857142857</v>
      </c>
    </row>
    <row r="18" spans="1:24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>C18-O18-N18-M18</f>
        <v>6</v>
      </c>
      <c r="Q18" s="29">
        <f>F18-F17</f>
        <v>5</v>
      </c>
      <c r="R18" s="72">
        <f>G18/(C18-E18-F18)</f>
        <v>0</v>
      </c>
      <c r="S18" s="62">
        <f>E18/C18</f>
        <v>2.34375E-2</v>
      </c>
      <c r="X18" s="36">
        <f>AVERAGE(D12:D18)</f>
        <v>0.2857142857142857</v>
      </c>
    </row>
    <row r="19" spans="1:24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>C19-O19-N19-M19</f>
        <v>10</v>
      </c>
      <c r="Q19" s="29">
        <f>F19-F18</f>
        <v>4</v>
      </c>
      <c r="R19" s="72">
        <f>G19/(C19-E19-F19)</f>
        <v>0</v>
      </c>
      <c r="S19" s="62">
        <f>E19/C19</f>
        <v>1.8987341772151899E-2</v>
      </c>
      <c r="X19" s="36">
        <f>AVERAGE(D13:D19)</f>
        <v>0.14285714285714285</v>
      </c>
    </row>
    <row r="20" spans="1:24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>C20-O20-N20-M20</f>
        <v>20</v>
      </c>
      <c r="Q20" s="29">
        <f>F20-F19</f>
        <v>4</v>
      </c>
      <c r="R20" s="72">
        <f>G20/(C20-E20-F20)</f>
        <v>0</v>
      </c>
      <c r="S20" s="62">
        <f>E20/C20</f>
        <v>1.7777777777777778E-2</v>
      </c>
      <c r="X20" s="36">
        <f>AVERAGE(D14:D20)</f>
        <v>0.2857142857142857</v>
      </c>
    </row>
    <row r="21" spans="1:24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>C21-O21-N21-M21</f>
        <v>17</v>
      </c>
      <c r="Q21" s="29">
        <f>F21-F20</f>
        <v>20</v>
      </c>
      <c r="R21" s="72">
        <f>G21/(C21-E21-F21)</f>
        <v>0</v>
      </c>
      <c r="S21" s="62">
        <f>E21/C21</f>
        <v>1.5037593984962405E-2</v>
      </c>
      <c r="X21" s="36">
        <f>AVERAGE(D15:D21)</f>
        <v>0.2857142857142857</v>
      </c>
    </row>
    <row r="22" spans="1:24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>C22-O22-N22-M22</f>
        <v>30</v>
      </c>
      <c r="Q22" s="29">
        <f>F22-F21</f>
        <v>1</v>
      </c>
      <c r="R22" s="72">
        <f>G22/(C22-E22-F22)</f>
        <v>0</v>
      </c>
      <c r="S22" s="62">
        <f>E22/C22</f>
        <v>1.3289036544850499E-2</v>
      </c>
      <c r="X22" s="36">
        <f>AVERAGE(D16:D22)</f>
        <v>0.2857142857142857</v>
      </c>
    </row>
    <row r="23" spans="1:24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>C23-O23-N23-M23</f>
        <v>55</v>
      </c>
      <c r="Q23" s="29">
        <f>F23-F22</f>
        <v>11</v>
      </c>
      <c r="R23" s="72">
        <f>G23/(C23-E23-F23)</f>
        <v>0</v>
      </c>
      <c r="S23" s="62">
        <f>E23/C23</f>
        <v>1.5503875968992248E-2</v>
      </c>
      <c r="X23" s="36">
        <f>AVERAGE(D17:D23)</f>
        <v>0.5714285714285714</v>
      </c>
    </row>
    <row r="24" spans="1:24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>C24-O24-N24-M24</f>
        <v>150</v>
      </c>
      <c r="Q24" s="29">
        <f>F24-F23</f>
        <v>9</v>
      </c>
      <c r="R24" s="72">
        <f>G24/(C24-E24-F24)</f>
        <v>0</v>
      </c>
      <c r="S24" s="62">
        <f>E24/C24</f>
        <v>1.5904572564612324E-2</v>
      </c>
      <c r="X24" s="36">
        <f>AVERAGE(D18:D24)</f>
        <v>0.7142857142857143</v>
      </c>
    </row>
    <row r="25" spans="1:24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>C25-O25-N25-M25</f>
        <v>175</v>
      </c>
      <c r="Q25" s="29">
        <f>F25-F24</f>
        <v>3</v>
      </c>
      <c r="R25" s="72">
        <f>G25/(C25-E25-F25)</f>
        <v>4.9800796812749001E-2</v>
      </c>
      <c r="S25" s="62">
        <f>E25/C25</f>
        <v>2.037351443123939E-2</v>
      </c>
      <c r="X25" s="36">
        <f>AVERAGE(D19:D25)</f>
        <v>1.2857142857142858</v>
      </c>
    </row>
    <row r="26" spans="1:24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>C26-O26-N26-M26</f>
        <v>135</v>
      </c>
      <c r="Q26" s="29">
        <f>F26-F25</f>
        <v>5</v>
      </c>
      <c r="R26" s="72">
        <f>G26/(C26-E26-F26)</f>
        <v>0</v>
      </c>
      <c r="S26" s="62">
        <f>E26/C26</f>
        <v>2.4637681159420291E-2</v>
      </c>
      <c r="X26" s="36">
        <f>AVERAGE(D20:D26)</f>
        <v>2</v>
      </c>
    </row>
    <row r="27" spans="1:24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>C27-O27-N27-M27</f>
        <v>151</v>
      </c>
      <c r="Q27" s="29">
        <f>F27-F26</f>
        <v>11</v>
      </c>
      <c r="R27" s="72">
        <f>G27/(C27-E27-F27)</f>
        <v>6.9291338582677164E-2</v>
      </c>
      <c r="S27" s="62">
        <f>E27/C27</f>
        <v>2.5503355704697986E-2</v>
      </c>
      <c r="X27" s="36">
        <f>AVERAGE(D21:D27)</f>
        <v>2.1428571428571428</v>
      </c>
    </row>
    <row r="28" spans="1:24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>C28-O28-N28-M28</f>
        <v>170</v>
      </c>
      <c r="Q28" s="29">
        <f>F28-F27</f>
        <v>137</v>
      </c>
      <c r="R28" s="72">
        <f>G28/(C28-E28-F28)</f>
        <v>9.2657342657342656E-2</v>
      </c>
      <c r="S28" s="62">
        <f>E28/C28</f>
        <v>2.4390243902439025E-2</v>
      </c>
      <c r="X28" s="36">
        <f>AVERAGE(D22:D28)</f>
        <v>2.2857142857142856</v>
      </c>
    </row>
    <row r="29" spans="1:24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>C29-O29-N29-M29</f>
        <v>269</v>
      </c>
      <c r="Q29" s="29">
        <f>F29-F28</f>
        <v>12</v>
      </c>
      <c r="R29" s="72">
        <f>G29/(C29-E29-F29)</f>
        <v>7.8459343794579167E-2</v>
      </c>
      <c r="S29" s="62">
        <f>E29/C29</f>
        <v>2.5879917184265012E-2</v>
      </c>
      <c r="X29" s="36">
        <f>AVERAGE(D23:D29)</f>
        <v>3</v>
      </c>
    </row>
    <row r="30" spans="1:24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>C30-O30-N30-M30</f>
        <v>229</v>
      </c>
      <c r="Q30" s="29">
        <f>F30-F29</f>
        <v>8</v>
      </c>
      <c r="R30" s="72">
        <f>G30/(C30-E30-F30)</f>
        <v>7.0694087403598976E-2</v>
      </c>
      <c r="S30" s="62">
        <f>E30/C30</f>
        <v>2.6565464895635674E-2</v>
      </c>
      <c r="X30" s="36">
        <f>AVERAGE(D24:D30)</f>
        <v>3.1428571428571428</v>
      </c>
    </row>
    <row r="31" spans="1:24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>C31-O31-N31-M31</f>
        <v>203</v>
      </c>
      <c r="Q31" s="29">
        <f>F31-F30</f>
        <v>8</v>
      </c>
      <c r="R31" s="72">
        <f>G31/(C31-E31-F31)</f>
        <v>8.5308056872037921E-2</v>
      </c>
      <c r="S31" s="62">
        <f>E31/C31</f>
        <v>2.9126213592233011E-2</v>
      </c>
      <c r="X31" s="36">
        <f>AVERAGE(D25:D31)</f>
        <v>3.5714285714285716</v>
      </c>
    </row>
    <row r="32" spans="1:24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>C32-O32-N32-M32</f>
        <v>143</v>
      </c>
      <c r="Q32" s="29">
        <f>F32-F31</f>
        <v>10</v>
      </c>
      <c r="R32" s="72">
        <f>G32/(C32-E32-F32)</f>
        <v>8.5239085239085244E-2</v>
      </c>
      <c r="S32" s="62">
        <f>E32/C32</f>
        <v>2.9249011857707511E-2</v>
      </c>
      <c r="X32" s="36">
        <f>AVERAGE(D26:D32)</f>
        <v>3.5714285714285716</v>
      </c>
    </row>
    <row r="33" spans="1:24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>C33-O33-N33-M33</f>
        <v>124</v>
      </c>
      <c r="Q33" s="29">
        <f>F33-F32</f>
        <v>13</v>
      </c>
      <c r="R33" s="72">
        <f>G33/(C33-E33-F33)</f>
        <v>8.3333333333333329E-2</v>
      </c>
      <c r="S33" s="62">
        <f>E33/C33</f>
        <v>3.1042128603104215E-2</v>
      </c>
      <c r="X33" s="36">
        <f>AVERAGE(D27:D33)</f>
        <v>3.5714285714285716</v>
      </c>
    </row>
    <row r="34" spans="1:24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>C34-O34-N34-M34</f>
        <v>168</v>
      </c>
      <c r="Q34" s="29">
        <f>F34-F33</f>
        <v>1</v>
      </c>
      <c r="R34" s="72">
        <f>G34/(C34-E34-F34)</f>
        <v>7.7127659574468085E-2</v>
      </c>
      <c r="S34" s="62">
        <f>E34/C34</f>
        <v>2.9634734665747762E-2</v>
      </c>
      <c r="X34" s="36">
        <f>AVERAGE(D28:D34)</f>
        <v>3.4285714285714284</v>
      </c>
    </row>
    <row r="35" spans="1:24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>C35-O35-N35-M35</f>
        <v>175</v>
      </c>
      <c r="Q35" s="29">
        <f>F35-F34</f>
        <v>45</v>
      </c>
      <c r="R35" s="72">
        <f>G35/(C35-E35-F35)</f>
        <v>7.945900253592561E-2</v>
      </c>
      <c r="S35" s="62">
        <f>E35/C35</f>
        <v>2.9601029601029602E-2</v>
      </c>
      <c r="X35" s="36">
        <f>AVERAGE(D29:D35)</f>
        <v>3.7142857142857144</v>
      </c>
    </row>
    <row r="36" spans="1:24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>C36-O36-N36-M36</f>
        <v>172</v>
      </c>
      <c r="Q36" s="29">
        <f>F36-F35</f>
        <v>13</v>
      </c>
      <c r="R36" s="72">
        <f>G36/(C36-E36-F36)</f>
        <v>7.7607113985448672E-2</v>
      </c>
      <c r="S36" s="62">
        <f>E36/C36</f>
        <v>3.2555282555282554E-2</v>
      </c>
      <c r="X36" s="36">
        <f>AVERAGE(D30:D36)</f>
        <v>4</v>
      </c>
    </row>
    <row r="37" spans="1:24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>C37-O37-N37-M37</f>
        <v>184</v>
      </c>
      <c r="Q37" s="29">
        <f>F37-F36</f>
        <v>20</v>
      </c>
      <c r="R37" s="72">
        <f>G37/(C37-E37-F37)</f>
        <v>7.5558982266769464E-2</v>
      </c>
      <c r="S37" s="62">
        <f>E37/C37</f>
        <v>3.4985422740524783E-2</v>
      </c>
      <c r="X37" s="36">
        <f>AVERAGE(D31:D37)</f>
        <v>4.5714285714285712</v>
      </c>
    </row>
    <row r="38" spans="1:24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>C38-O38-N38-M38</f>
        <v>186</v>
      </c>
      <c r="Q38" s="29">
        <f>F38-F37</f>
        <v>7</v>
      </c>
      <c r="R38" s="72">
        <f>G38/(C38-E38-F38)</f>
        <v>7.179487179487179E-2</v>
      </c>
      <c r="S38" s="62">
        <f>E38/C38</f>
        <v>3.6211699164345405E-2</v>
      </c>
      <c r="X38" s="36">
        <f>AVERAGE(D32:D38)</f>
        <v>4.5714285714285712</v>
      </c>
    </row>
    <row r="39" spans="1:24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>C39-O39-N39-M39</f>
        <v>207</v>
      </c>
      <c r="Q39" s="29">
        <f>F39-F38</f>
        <v>10</v>
      </c>
      <c r="R39" s="72">
        <f>G39/(C39-E39-F39)</f>
        <v>6.805555555555555E-2</v>
      </c>
      <c r="S39" s="62">
        <f>E39/C39</f>
        <v>4.171066525871172E-2</v>
      </c>
      <c r="X39" s="36">
        <f>AVERAGE(D33:D39)</f>
        <v>6</v>
      </c>
    </row>
    <row r="40" spans="1:24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>C40-O40-N40-M40</f>
        <v>223</v>
      </c>
      <c r="Q40" s="29">
        <f>F40-F39</f>
        <v>65</v>
      </c>
      <c r="R40" s="72">
        <f>G40/(C40-E40-F40)</f>
        <v>7.9146593255333797E-2</v>
      </c>
      <c r="S40" s="62">
        <f>E40/C40</f>
        <v>4.1518987341772152E-2</v>
      </c>
      <c r="X40" s="36">
        <f>AVERAGE(D34:D40)</f>
        <v>5.7142857142857144</v>
      </c>
    </row>
    <row r="41" spans="1:24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>C41-O41-N41-M41</f>
        <v>310</v>
      </c>
      <c r="Q41" s="29">
        <f>F41-F40</f>
        <v>28</v>
      </c>
      <c r="R41" s="72">
        <f>G41/(C41-E41-F41)</f>
        <v>5.2365930599369087E-2</v>
      </c>
      <c r="S41" s="62">
        <f>E41/C41</f>
        <v>4.1549953314659195E-2</v>
      </c>
      <c r="X41" s="36">
        <f>AVERAGE(D35:D41)</f>
        <v>6.5714285714285712</v>
      </c>
    </row>
    <row r="42" spans="1:24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>C42-O42-N42-M42</f>
        <v>303</v>
      </c>
      <c r="Q42" s="29">
        <f>F42-F41</f>
        <v>47</v>
      </c>
      <c r="R42" s="72">
        <f>G42/(C42-E42-F42)</f>
        <v>7.07133917396746E-2</v>
      </c>
      <c r="S42" s="62">
        <f>E42/C42</f>
        <v>4.3025362318840576E-2</v>
      </c>
      <c r="X42" s="36">
        <f>AVERAGE(D36:D42)</f>
        <v>7</v>
      </c>
    </row>
    <row r="43" spans="1:24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>C43-O43-N43-M43</f>
        <v>303</v>
      </c>
      <c r="Q43" s="29">
        <f>F43-F42</f>
        <v>44</v>
      </c>
      <c r="R43" s="72">
        <f>G43/(C43-E43-F43)</f>
        <v>7.160493827160494E-2</v>
      </c>
      <c r="S43" s="62">
        <f>E43/C43</f>
        <v>4.3039086517347384E-2</v>
      </c>
      <c r="X43" s="36">
        <f>AVERAGE(D37:D43)</f>
        <v>6.4285714285714288</v>
      </c>
    </row>
    <row r="44" spans="1:24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>C44-O44-N44-M44</f>
        <v>360</v>
      </c>
      <c r="Q44" s="29">
        <f>F44-F43</f>
        <v>37</v>
      </c>
      <c r="R44" s="72">
        <f>G44/(C44-E44-F44)</f>
        <v>6.7164179104477612E-2</v>
      </c>
      <c r="S44" s="62">
        <f>E44/C44</f>
        <v>4.2979942693409739E-2</v>
      </c>
      <c r="X44" s="36">
        <f>AVERAGE(D38:D44)</f>
        <v>6.4285714285714288</v>
      </c>
    </row>
    <row r="45" spans="1:24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>C45-O45-N45-M45</f>
        <v>403</v>
      </c>
      <c r="Q45" s="29">
        <f>F45-F44</f>
        <v>35</v>
      </c>
      <c r="R45" s="72">
        <f>G45/(C45-E45-F45)</f>
        <v>6.6192560175054704E-2</v>
      </c>
      <c r="S45" s="62">
        <f>E45/C45</f>
        <v>4.3562816024893036E-2</v>
      </c>
      <c r="X45" s="36">
        <f>AVERAGE(D39:D45)</f>
        <v>6.7142857142857144</v>
      </c>
    </row>
    <row r="46" spans="1:24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>C46-O46-N46-M46</f>
        <v>425</v>
      </c>
      <c r="Q46" s="29">
        <f>F46-F45</f>
        <v>35</v>
      </c>
      <c r="R46" s="72">
        <f>G46/(C46-E46-F46)</f>
        <v>6.6985645933014357E-2</v>
      </c>
      <c r="S46" s="62">
        <f>E46/C46</f>
        <v>4.5710003746721621E-2</v>
      </c>
      <c r="X46" s="36">
        <f>AVERAGE(D40:D46)</f>
        <v>6.1428571428571432</v>
      </c>
    </row>
    <row r="47" spans="1:24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>C47-O47-N47-M47</f>
        <v>436</v>
      </c>
      <c r="Q47" s="29">
        <f>F47-F46</f>
        <v>19</v>
      </c>
      <c r="R47" s="72">
        <f>G47/(C47-E47-F47)</f>
        <v>6.5329218106995879E-2</v>
      </c>
      <c r="S47" s="62">
        <f>E47/C47</f>
        <v>4.6773023930384336E-2</v>
      </c>
      <c r="X47" s="36">
        <f>AVERAGE(D41:D47)</f>
        <v>6.7142857142857144</v>
      </c>
    </row>
    <row r="48" spans="1:24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>C48-O48-N48-M48</f>
        <v>303</v>
      </c>
      <c r="Q48" s="29">
        <f>F48-F47</f>
        <v>24</v>
      </c>
      <c r="R48" s="72">
        <f>G48/(C48-E48-F48)</f>
        <v>6.1561561561561562E-2</v>
      </c>
      <c r="S48" s="62">
        <f>E48/C48</f>
        <v>4.6495244804508631E-2</v>
      </c>
      <c r="X48" s="36">
        <f>AVERAGE(D42:D48)</f>
        <v>6.1428571428571432</v>
      </c>
    </row>
    <row r="49" spans="1:24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>C49-O49-N49-M49</f>
        <v>310</v>
      </c>
      <c r="Q49" s="29">
        <f>F49-F48</f>
        <v>28</v>
      </c>
      <c r="R49" s="72">
        <f>G49/(C49-E49-F49)</f>
        <v>6.0869565217391307E-2</v>
      </c>
      <c r="S49" s="62">
        <f>E49/C49</f>
        <v>4.5562733764025844E-2</v>
      </c>
      <c r="X49" s="36">
        <f>AVERAGE(D43:D49)</f>
        <v>5.5714285714285712</v>
      </c>
    </row>
    <row r="50" spans="1:24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>C50-O50-N50-M50</f>
        <v>299</v>
      </c>
      <c r="Q50" s="29">
        <f>F50-F49</f>
        <v>103</v>
      </c>
      <c r="R50" s="72">
        <f>G50/(C50-E50-F50)</f>
        <v>6.2957540263543194E-2</v>
      </c>
      <c r="S50" s="62">
        <f>E50/C50</f>
        <v>4.6849224678323982E-2</v>
      </c>
      <c r="X50" s="36">
        <f>AVERAGE(D44:D50)</f>
        <v>6.2857142857142856</v>
      </c>
    </row>
    <row r="51" spans="1:24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>C51-O51-N51-M51</f>
        <v>314</v>
      </c>
      <c r="Q51" s="29">
        <f>F51-F50</f>
        <v>32</v>
      </c>
      <c r="R51" s="72">
        <f>G51/(C51-E51-F51)</f>
        <v>6.1763319189061763E-2</v>
      </c>
      <c r="S51" s="62">
        <f>E51/C51</f>
        <v>4.8027989821882951E-2</v>
      </c>
      <c r="X51" s="36">
        <f>AVERAGE(D45:D51)</f>
        <v>6.5714285714285712</v>
      </c>
    </row>
    <row r="52" spans="1:24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>C52-O52-N52-M52</f>
        <v>341</v>
      </c>
      <c r="Q52" s="29">
        <f>F52-F51</f>
        <v>47</v>
      </c>
      <c r="R52" s="72">
        <f>G52/(C52-E52-F52)</f>
        <v>6.1538461538461542E-2</v>
      </c>
      <c r="S52" s="62">
        <f>E52/C52</f>
        <v>4.8357664233576646E-2</v>
      </c>
      <c r="X52" s="36">
        <f>AVERAGE(D46:D52)</f>
        <v>6.7142857142857144</v>
      </c>
    </row>
    <row r="53" spans="1:24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>C53-O53-N53-M53</f>
        <v>348</v>
      </c>
      <c r="Q53" s="29">
        <f>F53-F52</f>
        <v>57</v>
      </c>
      <c r="R53" s="72">
        <f>G53/(C53-E53-F53)</f>
        <v>6.1464690496948561E-2</v>
      </c>
      <c r="S53" s="62">
        <f>E53/C53</f>
        <v>4.8034934497816595E-2</v>
      </c>
      <c r="X53" s="36">
        <f>AVERAGE(D47:D53)</f>
        <v>6.1428571428571432</v>
      </c>
    </row>
    <row r="54" spans="1:24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>C54-O54-N54-M54</f>
        <v>403</v>
      </c>
      <c r="Q54" s="29">
        <f>F54-F53</f>
        <v>54</v>
      </c>
      <c r="R54" s="72">
        <f>G54/(C54-E54-F54)</f>
        <v>5.9975010412328195E-2</v>
      </c>
      <c r="S54" s="62">
        <f>E54/C54</f>
        <v>4.8794011644025505E-2</v>
      </c>
      <c r="X54" s="36">
        <f>AVERAGE(D48:D54)</f>
        <v>6.7142857142857144</v>
      </c>
    </row>
    <row r="55" spans="1:24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>C55-O55-N55-M55</f>
        <v>454</v>
      </c>
      <c r="Q55" s="29">
        <f>F55-F54</f>
        <v>77</v>
      </c>
      <c r="R55" s="72">
        <f>G55/(C55-E55-F55)</f>
        <v>5.5868167202572344E-2</v>
      </c>
      <c r="S55" s="62">
        <f>E55/C55</f>
        <v>4.8941798941798939E-2</v>
      </c>
      <c r="X55" s="36">
        <f>AVERAGE(D49:D55)</f>
        <v>7.5714285714285712</v>
      </c>
    </row>
    <row r="56" spans="1:24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>C56-O56-N56-M56</f>
        <v>479</v>
      </c>
      <c r="Q56" s="29">
        <f>F56-F55</f>
        <v>33</v>
      </c>
      <c r="R56" s="72">
        <f>G56/(C56-E56-F56)</f>
        <v>5.8984374999999999E-2</v>
      </c>
      <c r="S56" s="62">
        <f>E56/C56</f>
        <v>4.9331963001027747E-2</v>
      </c>
      <c r="X56" s="36">
        <f>AVERAGE(D50:D56)</f>
        <v>8.2857142857142865</v>
      </c>
    </row>
    <row r="57" spans="1:24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>C57-O57-N57-M57</f>
        <v>476</v>
      </c>
      <c r="Q57" s="29">
        <f>F57-F56</f>
        <v>22</v>
      </c>
      <c r="R57" s="72">
        <f>G57/(C57-E57-F57)</f>
        <v>5.8623298033282902E-2</v>
      </c>
      <c r="S57" s="62">
        <f>E57/C57</f>
        <v>4.921309018236323E-2</v>
      </c>
      <c r="X57" s="36">
        <f>AVERAGE(D51:D57)</f>
        <v>7.8571428571428568</v>
      </c>
    </row>
    <row r="58" spans="1:24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>C58-O58-N58-M58</f>
        <v>468</v>
      </c>
      <c r="Q58" s="29">
        <f>F58-F57</f>
        <v>30</v>
      </c>
      <c r="R58" s="72">
        <f>G58/(C58-E58-F58)</f>
        <v>5.6451612903225805E-2</v>
      </c>
      <c r="S58" s="62">
        <f>E58/C58</f>
        <v>5.0157499394233099E-2</v>
      </c>
      <c r="X58" s="36">
        <f>AVERAGE(D52:D58)</f>
        <v>8</v>
      </c>
    </row>
    <row r="59" spans="1:24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>C59-O59-N59-M59</f>
        <v>497</v>
      </c>
      <c r="Q59" s="29">
        <f>F59-F58</f>
        <v>64</v>
      </c>
      <c r="R59" s="72">
        <f>G59/(C59-E59-F59)</f>
        <v>5.5772646536412077E-2</v>
      </c>
      <c r="S59" s="62">
        <f>E59/C59</f>
        <v>4.9941656942823806E-2</v>
      </c>
      <c r="X59" s="36">
        <f>AVERAGE(D53:D59)</f>
        <v>7.8571428571428568</v>
      </c>
    </row>
    <row r="60" spans="1:24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>C60-O60-N60-M60</f>
        <v>460</v>
      </c>
      <c r="Q60" s="29">
        <f>F60-F59</f>
        <v>36</v>
      </c>
      <c r="R60" s="72">
        <f>G60/(C60-E60-F60)</f>
        <v>5.3803975325565453E-2</v>
      </c>
      <c r="S60" s="62">
        <f>E60/C60</f>
        <v>4.9232158988256551E-2</v>
      </c>
      <c r="X60" s="36">
        <f>AVERAGE(D54:D60)</f>
        <v>7.5714285714285712</v>
      </c>
    </row>
    <row r="61" spans="1:24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>C61-O61-N61-M61</f>
        <v>443</v>
      </c>
      <c r="Q61" s="29">
        <f>F61-F60</f>
        <v>28</v>
      </c>
      <c r="R61" s="72">
        <f>G61/(C61-E61-F61)</f>
        <v>5.4904586541680615E-2</v>
      </c>
      <c r="S61" s="62">
        <f>E61/C61</f>
        <v>4.9646954986760812E-2</v>
      </c>
      <c r="X61" s="36">
        <f>AVERAGE(D55:D61)</f>
        <v>7</v>
      </c>
    </row>
    <row r="62" spans="1:24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>C62-O62-N62-M62</f>
        <v>485</v>
      </c>
      <c r="Q62" s="29">
        <f>F62-F61</f>
        <v>34</v>
      </c>
      <c r="R62" s="72">
        <f>G62/(C62-E62-F62)</f>
        <v>5.307443365695793E-2</v>
      </c>
      <c r="S62" s="62">
        <f>E62/C62</f>
        <v>5.0630207220679339E-2</v>
      </c>
      <c r="X62" s="36">
        <f>AVERAGE(D56:D62)</f>
        <v>7.4285714285714288</v>
      </c>
    </row>
    <row r="63" spans="1:24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>C63-O63-N63-M63</f>
        <v>474</v>
      </c>
      <c r="Q63" s="29">
        <f>F63-F62</f>
        <v>88</v>
      </c>
      <c r="R63" s="72">
        <f>G63/(C63-E63-F63)</f>
        <v>4.7157622739018086E-2</v>
      </c>
      <c r="S63" s="62">
        <f>E63/C63</f>
        <v>5.1421404682274248E-2</v>
      </c>
      <c r="X63" s="36">
        <f>AVERAGE(D57:D63)</f>
        <v>7.7142857142857144</v>
      </c>
    </row>
    <row r="64" spans="1:24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>C64-O64-N64-M64</f>
        <v>449</v>
      </c>
      <c r="Q64" s="29">
        <f>F64-F63</f>
        <v>30</v>
      </c>
      <c r="R64" s="72">
        <f>G64/(C64-E64-F64)</f>
        <v>4.6909667194928686E-2</v>
      </c>
      <c r="S64" s="62">
        <f>E64/C64</f>
        <v>5.3202373644362595E-2</v>
      </c>
      <c r="X64" s="36">
        <f>AVERAGE(D58:D64)</f>
        <v>9</v>
      </c>
    </row>
    <row r="65" spans="1:24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>C65-O65-N65-M65</f>
        <v>441</v>
      </c>
      <c r="Q65" s="29">
        <f>F65-F64</f>
        <v>52</v>
      </c>
      <c r="R65" s="72">
        <f>G65/(C65-E65-F65)</f>
        <v>4.4245049504950493E-2</v>
      </c>
      <c r="S65" s="62">
        <f>E65/C65</f>
        <v>5.2589641434262951E-2</v>
      </c>
      <c r="X65" s="36">
        <f>AVERAGE(D59:D65)</f>
        <v>8.1428571428571423</v>
      </c>
    </row>
    <row r="66" spans="1:24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>C66-O66-N66-M66</f>
        <v>479</v>
      </c>
      <c r="Q66" s="29">
        <f>F66-F65</f>
        <v>77</v>
      </c>
      <c r="R66" s="72">
        <f>G66/(C66-E66-F66)</f>
        <v>4.5290941811637675E-2</v>
      </c>
      <c r="S66" s="62">
        <f>E66/C66</f>
        <v>5.2419354838709679E-2</v>
      </c>
      <c r="X66" s="36">
        <f>AVERAGE(D60:D66)</f>
        <v>8.4285714285714288</v>
      </c>
    </row>
    <row r="67" spans="1:24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>C67-O67-N67-M67</f>
        <v>473</v>
      </c>
      <c r="Q67" s="29">
        <f>F67-F66</f>
        <v>0</v>
      </c>
      <c r="R67" s="72">
        <f>G67/(C67-E67-F67)</f>
        <v>4.3291284403669722E-2</v>
      </c>
      <c r="S67" s="62">
        <f>E67/C67</f>
        <v>5.2504189164029047E-2</v>
      </c>
      <c r="X67" s="36">
        <f>AVERAGE(D61:D67)</f>
        <v>9.1428571428571423</v>
      </c>
    </row>
    <row r="68" spans="1:24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>C68-O68-N68-M68</f>
        <v>567</v>
      </c>
      <c r="Q68" s="29">
        <f>F68-F67</f>
        <v>127</v>
      </c>
      <c r="R68" s="72">
        <f>G68/(C68-E68-F68)</f>
        <v>4.3732590529247911E-2</v>
      </c>
      <c r="S68" s="62">
        <f>E68/C68</f>
        <v>5.2218855818927108E-2</v>
      </c>
      <c r="X68" s="36">
        <f>AVERAGE(D62:D68)</f>
        <v>9.7142857142857135</v>
      </c>
    </row>
    <row r="69" spans="1:24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>C69-O69-N69-M69</f>
        <v>613</v>
      </c>
      <c r="Q69" s="29">
        <f>F69-F68</f>
        <v>29</v>
      </c>
      <c r="R69" s="72">
        <f>G69/(C69-E69-F69)</f>
        <v>4.3022317827372952E-2</v>
      </c>
      <c r="S69" s="62">
        <f>E69/C69</f>
        <v>5.1939058171745149E-2</v>
      </c>
      <c r="X69" s="36">
        <f>AVERAGE(D63:D69)</f>
        <v>9</v>
      </c>
    </row>
    <row r="70" spans="1:24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>C70-O70-N70-M70</f>
        <v>670</v>
      </c>
      <c r="Q70" s="29">
        <f>F70-F69</f>
        <v>80</v>
      </c>
      <c r="R70" s="72">
        <f>G70/(C70-E70-F70)</f>
        <v>4.2137718396711203E-2</v>
      </c>
      <c r="S70" s="62">
        <f>E70/C70</f>
        <v>5.0546900894928734E-2</v>
      </c>
      <c r="X70" s="36">
        <f>AVERAGE(D64:D70)</f>
        <v>8.4285714285714288</v>
      </c>
    </row>
    <row r="71" spans="1:24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>C71-O71-N71-M71</f>
        <v>716</v>
      </c>
      <c r="Q71" s="29">
        <f>F71-F70</f>
        <v>25</v>
      </c>
      <c r="R71" s="72">
        <f>G71/(C71-E71-F71)</f>
        <v>4.1443198439785472E-2</v>
      </c>
      <c r="S71" s="62">
        <f>E71/C71</f>
        <v>5.0015928639694167E-2</v>
      </c>
      <c r="X71" s="36">
        <f>AVERAGE(D65:D71)</f>
        <v>7.7142857142857144</v>
      </c>
    </row>
    <row r="72" spans="1:24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>C72-O72-N72-M72</f>
        <v>735</v>
      </c>
      <c r="Q72" s="29">
        <f>F72-F71</f>
        <v>404</v>
      </c>
      <c r="R72" s="72">
        <f>G72/(C72-E72-F72)</f>
        <v>3.6953242835595777E-2</v>
      </c>
      <c r="S72" s="62">
        <f>E72/C72</f>
        <v>4.8605820508913607E-2</v>
      </c>
      <c r="X72" s="36">
        <f>AVERAGE(D66:D72)</f>
        <v>7.8571428571428568</v>
      </c>
    </row>
    <row r="73" spans="1:24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>C73-O73-N73-M73</f>
        <v>798</v>
      </c>
      <c r="Q73" s="29">
        <f>F73-F72</f>
        <v>119</v>
      </c>
      <c r="R73" s="72">
        <f>G73/(C73-E73-F73)</f>
        <v>3.5294117647058823E-2</v>
      </c>
      <c r="S73" s="62">
        <f>E73/C73</f>
        <v>4.7826718999854627E-2</v>
      </c>
      <c r="X73" s="36">
        <f>AVERAGE(D67:D73)</f>
        <v>8</v>
      </c>
    </row>
    <row r="74" spans="1:24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>C74-O74-N74-M74</f>
        <v>805</v>
      </c>
      <c r="Q74" s="29">
        <f>F74-F73</f>
        <v>112</v>
      </c>
      <c r="R74" s="72">
        <f>G74/(C74-E74-F74)</f>
        <v>3.4780578898225958E-2</v>
      </c>
      <c r="S74" s="62">
        <f>E74/C74</f>
        <v>4.9481356882534341E-2</v>
      </c>
      <c r="X74" s="36">
        <f>AVERAGE(D68:D74)</f>
        <v>10.142857142857142</v>
      </c>
    </row>
    <row r="75" spans="1:24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>C75-O75-N75-M75</f>
        <v>903</v>
      </c>
      <c r="Q75" s="29">
        <f>F75-F74</f>
        <v>37</v>
      </c>
      <c r="R75" s="72">
        <f>G75/(C75-E75-F75)</f>
        <v>3.2904772281542823E-2</v>
      </c>
      <c r="S75" s="62">
        <f>E75/C75</f>
        <v>4.7599946516914023E-2</v>
      </c>
      <c r="X75" s="36">
        <f>AVERAGE(D69:D75)</f>
        <v>9</v>
      </c>
    </row>
    <row r="76" spans="1:24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>C76-O76-N76-M76</f>
        <v>964</v>
      </c>
      <c r="Q76" s="29">
        <f>F76-F75</f>
        <v>35</v>
      </c>
      <c r="R76" s="72">
        <f>G76/(C76-E76-F76)</f>
        <v>3.160270880361174E-2</v>
      </c>
      <c r="S76" s="62">
        <f>E76/C76</f>
        <v>4.6508648302370274E-2</v>
      </c>
      <c r="X76" s="36">
        <f>AVERAGE(D70:D76)</f>
        <v>9</v>
      </c>
    </row>
    <row r="77" spans="1:24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>C77-O77-N77-M77</f>
        <v>1118</v>
      </c>
      <c r="Q77" s="29">
        <f>F77-F76</f>
        <v>56</v>
      </c>
      <c r="R77" s="72">
        <f>G77/(C77-E77-F77)</f>
        <v>3.125E-2</v>
      </c>
      <c r="S77" s="62">
        <f>E77/C77</f>
        <v>4.6129112045510762E-2</v>
      </c>
      <c r="X77" s="36">
        <f>AVERAGE(D71:D77)</f>
        <v>9.7142857142857135</v>
      </c>
    </row>
    <row r="78" spans="1:24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>C78-O78-N78-M78</f>
        <v>1107</v>
      </c>
      <c r="Q78" s="29">
        <f>F78-F77</f>
        <v>247</v>
      </c>
      <c r="R78" s="72">
        <f>G78/(C78-E78-F78)</f>
        <v>3.0486613249951142E-2</v>
      </c>
      <c r="S78" s="62">
        <f>E78/C78</f>
        <v>4.5633735515470078E-2</v>
      </c>
      <c r="X78" s="36">
        <f>AVERAGE(D72:D78)</f>
        <v>9.7142857142857135</v>
      </c>
    </row>
    <row r="79" spans="1:24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>C79-O79-N79-M79</f>
        <v>1232</v>
      </c>
      <c r="Q79" s="29">
        <f>F79-F78</f>
        <v>61</v>
      </c>
      <c r="R79" s="72">
        <f>G79/(C79-E79-F79)</f>
        <v>2.9363487142075505E-2</v>
      </c>
      <c r="S79" s="62">
        <f>E79/C79</f>
        <v>4.4613463503235327E-2</v>
      </c>
      <c r="X79" s="36">
        <f>AVERAGE(D73:D79)</f>
        <v>10.571428571428571</v>
      </c>
    </row>
    <row r="80" spans="1:24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>C80-O80-N80-M80</f>
        <v>1351</v>
      </c>
      <c r="Q80" s="29">
        <f>F80-F79</f>
        <v>99</v>
      </c>
      <c r="R80" s="72">
        <f>G80/(C80-E80-F80)</f>
        <v>2.924076607387141E-2</v>
      </c>
      <c r="S80" s="62">
        <f>E80/C80</f>
        <v>4.341268986319078E-2</v>
      </c>
      <c r="X80" s="36">
        <f>AVERAGE(D74:D80)</f>
        <v>10.571428571428571</v>
      </c>
    </row>
    <row r="81" spans="1:24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>C81-O81-N81-M81</f>
        <v>1496</v>
      </c>
      <c r="Q81" s="29">
        <f>F81-F80</f>
        <v>30</v>
      </c>
      <c r="R81" s="72">
        <f>G81/(C81-E81-F81)</f>
        <v>2.66542693320936E-2</v>
      </c>
      <c r="S81" s="62">
        <f>E81/C81</f>
        <v>4.1889034336924778E-2</v>
      </c>
      <c r="X81" s="36">
        <f>AVERAGE(D75:D81)</f>
        <v>9</v>
      </c>
    </row>
    <row r="82" spans="1:24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>C82-O82-N82-M82</f>
        <v>1739</v>
      </c>
      <c r="Q82" s="29">
        <f>F82-F81</f>
        <v>468</v>
      </c>
      <c r="R82" s="72">
        <f>G82/(C82-E82-F82)</f>
        <v>2.5874962608435536E-2</v>
      </c>
      <c r="S82" s="62">
        <f>E82/C82</f>
        <v>4.0661094938491876E-2</v>
      </c>
      <c r="X82" s="36">
        <f>AVERAGE(D76:D82)</f>
        <v>11.142857142857142</v>
      </c>
    </row>
    <row r="83" spans="1:24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>C83-O83-N83-M83</f>
        <v>1907</v>
      </c>
      <c r="Q83" s="29">
        <f>F83-F82</f>
        <v>202</v>
      </c>
      <c r="R83" s="72">
        <f>G83/(C83-E83-F83)</f>
        <v>2.5222965440356744E-2</v>
      </c>
      <c r="S83" s="62">
        <f>E83/C83</f>
        <v>3.9196688100061661E-2</v>
      </c>
      <c r="X83" s="36">
        <f>AVERAGE(D77:D83)</f>
        <v>11.857142857142858</v>
      </c>
    </row>
    <row r="84" spans="1:24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>C84-O84-N84-M84</f>
        <v>2053</v>
      </c>
      <c r="Q84" s="29">
        <f>F84-F83</f>
        <v>267</v>
      </c>
      <c r="R84" s="72">
        <f>G84/(C84-E84-F84)</f>
        <v>2.3737704918032787E-2</v>
      </c>
      <c r="S84" s="62">
        <f>E84/C84</f>
        <v>3.742961245445512E-2</v>
      </c>
      <c r="X84" s="36">
        <f>AVERAGE(D78:D84)</f>
        <v>11.571428571428571</v>
      </c>
    </row>
    <row r="85" spans="1:24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>C85-O85-N85-M85</f>
        <v>2052</v>
      </c>
      <c r="Q85" s="29">
        <f>F85-F84</f>
        <v>168</v>
      </c>
      <c r="R85" s="72">
        <f>G85/(C85-E85-F85)</f>
        <v>2.5394045534150613E-2</v>
      </c>
      <c r="S85" s="62">
        <f>E85/C85</f>
        <v>3.6981311371555275E-2</v>
      </c>
      <c r="X85" s="36">
        <f>AVERAGE(D79:D85)</f>
        <v>12.428571428571429</v>
      </c>
    </row>
    <row r="86" spans="1:24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>C86-O86-N86-M86</f>
        <v>2102</v>
      </c>
      <c r="Q86" s="29">
        <f>F86-F85</f>
        <v>182</v>
      </c>
      <c r="R86" s="72">
        <f>G86/(C86-E86-F86)</f>
        <v>2.9800929789009417E-2</v>
      </c>
      <c r="S86" s="62">
        <f>E86/C86</f>
        <v>3.704263683096462E-2</v>
      </c>
      <c r="X86" s="36">
        <f>AVERAGE(D80:D86)</f>
        <v>14.142857142857142</v>
      </c>
    </row>
    <row r="87" spans="1:24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>C87-O87-N87-M87</f>
        <v>2187</v>
      </c>
      <c r="Q87" s="29">
        <f>F87-F86</f>
        <v>268</v>
      </c>
      <c r="R87" s="72">
        <f>G87/(C87-E87-F87)</f>
        <v>2.8811252268602542E-2</v>
      </c>
      <c r="S87" s="62">
        <f>E87/C87</f>
        <v>3.5886025981482814E-2</v>
      </c>
      <c r="X87" s="36">
        <f>AVERAGE(D81:D87)</f>
        <v>14.142857142857142</v>
      </c>
    </row>
    <row r="88" spans="1:24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>C88-O88-N88-M88</f>
        <v>2234</v>
      </c>
      <c r="Q88" s="29">
        <f>F88-F87</f>
        <v>171</v>
      </c>
      <c r="R88" s="72">
        <f>G88/(C88-E88-F88)</f>
        <v>2.7535615564533277E-2</v>
      </c>
      <c r="S88" s="62">
        <f>E88/C88</f>
        <v>3.4553122024214393E-2</v>
      </c>
      <c r="X88" s="36">
        <f>AVERAGE(D82:D88)</f>
        <v>13.428571428571429</v>
      </c>
    </row>
    <row r="89" spans="1:24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>C89-O89-N89-M89</f>
        <v>2316</v>
      </c>
      <c r="Q89" s="29">
        <f>F89-F88</f>
        <v>312</v>
      </c>
      <c r="R89" s="72">
        <f>G89/(C89-E89-F89)</f>
        <v>2.4900500051025613E-2</v>
      </c>
      <c r="S89" s="62">
        <f>E89/C89</f>
        <v>3.3724625462092227E-2</v>
      </c>
      <c r="X89" s="36">
        <f>AVERAGE(D83:D89)</f>
        <v>12.571428571428571</v>
      </c>
    </row>
    <row r="90" spans="1:24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>C90-O90-N90-M90</f>
        <v>2491</v>
      </c>
      <c r="Q90" s="29">
        <f>F90-F89</f>
        <v>236</v>
      </c>
      <c r="R90" s="72">
        <f>G90/(C90-E90-F90)</f>
        <v>2.4734299516908212E-2</v>
      </c>
      <c r="S90" s="62">
        <f>E90/C90</f>
        <v>3.2564450474898234E-2</v>
      </c>
      <c r="X90" s="36">
        <f>AVERAGE(D84:D90)</f>
        <v>12</v>
      </c>
    </row>
    <row r="91" spans="1:24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>C91-O91-N91-M91</f>
        <v>2598</v>
      </c>
      <c r="Q91" s="29">
        <f>F91-F90</f>
        <v>185</v>
      </c>
      <c r="R91" s="72">
        <f>G91/(C91-E91-F91)</f>
        <v>2.5206190343805022E-2</v>
      </c>
      <c r="S91" s="62">
        <f>E91/C91</f>
        <v>3.1986232271081834E-2</v>
      </c>
      <c r="X91" s="36">
        <f>AVERAGE(D85:D91)</f>
        <v>12.428571428571429</v>
      </c>
    </row>
    <row r="92" spans="1:24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>C92-O92-N92-M92</f>
        <v>2646</v>
      </c>
      <c r="Q92" s="29">
        <f>F92-F91</f>
        <v>188</v>
      </c>
      <c r="R92" s="72">
        <f>G92/(C92-E92-F92)</f>
        <v>2.430493273542601E-2</v>
      </c>
      <c r="S92" s="62">
        <f>E92/C92</f>
        <v>3.1926500143554408E-2</v>
      </c>
      <c r="X92" s="36">
        <f>AVERAGE(D86:D92)</f>
        <v>12.714285714285714</v>
      </c>
    </row>
    <row r="93" spans="1:24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>C93-O93-N93-M93</f>
        <v>2895</v>
      </c>
      <c r="Q93" s="29">
        <f>F93-F92</f>
        <v>187</v>
      </c>
      <c r="R93" s="72">
        <f>G93/(C93-E93-F93)</f>
        <v>2.4295596423148304E-2</v>
      </c>
      <c r="S93" s="62">
        <f>E93/C93</f>
        <v>3.1060647415251923E-2</v>
      </c>
      <c r="X93" s="36">
        <f>AVERAGE(D87:D93)</f>
        <v>11.285714285714286</v>
      </c>
    </row>
    <row r="94" spans="1:24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>C94-O94-N94-M94</f>
        <v>3133</v>
      </c>
      <c r="Q94" s="29">
        <f>F94-F93</f>
        <v>97</v>
      </c>
      <c r="R94" s="72">
        <f>G94/(C94-E94-F94)</f>
        <v>2.3085408131106207E-2</v>
      </c>
      <c r="S94" s="62">
        <f>E94/C94</f>
        <v>3.0257421631720988E-2</v>
      </c>
      <c r="W94" s="213">
        <f>AVERAGE(B88:B94)</f>
        <v>762.14285714285711</v>
      </c>
      <c r="X94" s="36">
        <f>AVERAGE(D88:D94)</f>
        <v>11.857142857142858</v>
      </c>
    </row>
    <row r="95" spans="1:24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>C95-O95-N95-M95</f>
        <v>3329</v>
      </c>
      <c r="Q95" s="29">
        <f>F95-F94</f>
        <v>95</v>
      </c>
      <c r="R95" s="72">
        <f>G95/(C95-E95-F95)</f>
        <v>1.8369009702984964E-2</v>
      </c>
      <c r="S95" s="62">
        <f>E95/C95</f>
        <v>3.0103480714957668E-2</v>
      </c>
      <c r="W95" s="213">
        <f>AVERAGE(B89:B95)</f>
        <v>785</v>
      </c>
      <c r="X95" s="36">
        <f>AVERAGE(D89:D95)</f>
        <v>14.285714285714286</v>
      </c>
    </row>
    <row r="96" spans="1:24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29">
        <f>F96-F95</f>
        <v>92</v>
      </c>
      <c r="R96" s="72">
        <f>G96/(C96-E96-F96)</f>
        <v>1.750439367311072E-2</v>
      </c>
      <c r="S96" s="62">
        <f>E96/C96</f>
        <v>3.004230641251129E-2</v>
      </c>
      <c r="W96" s="213">
        <f>AVERAGE(B90:B96)</f>
        <v>802.57142857142856</v>
      </c>
      <c r="X96" s="36">
        <f>AVERAGE(D90:D96)</f>
        <v>16</v>
      </c>
    </row>
    <row r="97" spans="1:24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29">
        <f>F97-F96</f>
        <v>729</v>
      </c>
      <c r="R97" s="72">
        <f>G97/(C97-E97-F97)</f>
        <v>1.7078061259766301E-2</v>
      </c>
      <c r="S97" s="62">
        <f>E97/C97</f>
        <v>2.9427792915531336E-2</v>
      </c>
      <c r="W97" s="213">
        <f>AVERAGE(B91:B97)</f>
        <v>829.42857142857144</v>
      </c>
      <c r="X97" s="36">
        <f>AVERAGE(D91:D97)</f>
        <v>17.142857142857142</v>
      </c>
    </row>
    <row r="98" spans="1:24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29">
        <f>F98-F97</f>
        <v>396</v>
      </c>
      <c r="R98" s="72">
        <f>G98/(C98-E98-F98)</f>
        <v>1.5851602023608771E-2</v>
      </c>
      <c r="S98" s="62">
        <f>E98/C98</f>
        <v>2.9130472931473195E-2</v>
      </c>
      <c r="W98" s="213">
        <f>AVERAGE(B92:B98)</f>
        <v>849</v>
      </c>
      <c r="X98" s="36">
        <f>AVERAGE(D92:D98)</f>
        <v>17.714285714285715</v>
      </c>
    </row>
    <row r="99" spans="1:24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29">
        <f>F99-F98</f>
        <v>263</v>
      </c>
      <c r="R99" s="72">
        <f>G99/(C99-E99-F99)</f>
        <v>1.7253727456214597E-2</v>
      </c>
      <c r="S99" s="62">
        <f>E99/C99</f>
        <v>2.9339542760372567E-2</v>
      </c>
      <c r="W99" s="213">
        <f>AVERAGE(B93:B99)</f>
        <v>886.42857142857144</v>
      </c>
      <c r="X99" s="36">
        <f>AVERAGE(D93:D99)</f>
        <v>19.428571428571427</v>
      </c>
    </row>
    <row r="100" spans="1:24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29">
        <f>F100-F99</f>
        <v>423</v>
      </c>
      <c r="R100" s="72">
        <f>G100/(C100-E100-F100)</f>
        <v>1.6383230548807078E-2</v>
      </c>
      <c r="S100" s="62">
        <f>E100/C100</f>
        <v>2.8956827268688663E-2</v>
      </c>
      <c r="W100" s="213">
        <f>AVERAGE(B94:B100)</f>
        <v>920.28571428571433</v>
      </c>
      <c r="X100" s="36">
        <f>AVERAGE(D94:D100)</f>
        <v>21</v>
      </c>
    </row>
    <row r="101" spans="1:24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>C101-O101-N101-M101</f>
        <v>4386</v>
      </c>
      <c r="Q101" s="29">
        <f>F101-F100</f>
        <v>341</v>
      </c>
      <c r="R101" s="72">
        <f>G101/(C101-E101-F101)</f>
        <v>1.9208037825059102E-2</v>
      </c>
      <c r="S101" s="62">
        <f>E101/C101</f>
        <v>2.8283372455458498E-2</v>
      </c>
      <c r="W101" s="213">
        <f>AVERAGE(B95:B101)</f>
        <v>959.85714285714289</v>
      </c>
      <c r="X101" s="36">
        <f>AVERAGE(D95:D101)</f>
        <v>21.571428571428573</v>
      </c>
    </row>
    <row r="102" spans="1:24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>C102-O102-N102-M102</f>
        <v>4741</v>
      </c>
      <c r="Q102" s="29">
        <f>F102-F101</f>
        <v>411</v>
      </c>
      <c r="R102" s="72">
        <f>G102/(C102-E102-F102)</f>
        <v>1.6512734396865379E-2</v>
      </c>
      <c r="S102" s="62">
        <f>E102/C102</f>
        <v>2.7947247287473057E-2</v>
      </c>
      <c r="W102" s="213">
        <f>AVERAGE(B96:B102)</f>
        <v>1025.1428571428571</v>
      </c>
      <c r="X102" s="36">
        <f>AVERAGE(D96:D102)</f>
        <v>22.285714285714285</v>
      </c>
    </row>
    <row r="103" spans="1:24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>C103-O103-N103-M103</f>
        <v>5069</v>
      </c>
      <c r="Q103" s="29">
        <f>F103-F102</f>
        <v>340</v>
      </c>
      <c r="R103" s="72">
        <f>G103/(C103-E103-F103)</f>
        <v>1.4817950889077053E-2</v>
      </c>
      <c r="S103" s="62">
        <f>E103/C103</f>
        <v>2.7291058267278543E-2</v>
      </c>
      <c r="T103" s="227"/>
      <c r="W103" s="213">
        <f>AVERAGE(B97:B103)</f>
        <v>1103.8571428571429</v>
      </c>
      <c r="X103" s="36">
        <f>AVERAGE(D97:D103)</f>
        <v>21.714285714285715</v>
      </c>
    </row>
    <row r="104" spans="1:24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>C104-O104-N104-M104</f>
        <v>5627</v>
      </c>
      <c r="Q104" s="29">
        <f>F104-F103</f>
        <v>481</v>
      </c>
      <c r="R104" s="72">
        <f>G104/(C104-E104-F104)</f>
        <v>1.4711789515967062E-2</v>
      </c>
      <c r="S104" s="62">
        <f>E104/C104</f>
        <v>2.6902129064202012E-2</v>
      </c>
      <c r="T104" s="227"/>
      <c r="V104" s="227"/>
      <c r="W104" s="213">
        <f>AVERAGE(B98:B104)</f>
        <v>1182.1428571428571</v>
      </c>
      <c r="X104" s="36">
        <f>AVERAGE(D98:D104)</f>
        <v>23.714285714285715</v>
      </c>
    </row>
    <row r="105" spans="1:24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>C105-O105-N105-M105</f>
        <v>6002</v>
      </c>
      <c r="Q105" s="29">
        <f>F105-F104</f>
        <v>327</v>
      </c>
      <c r="R105" s="72">
        <f>G105/(C105-E105-F105)</f>
        <v>1.5153694912003069E-2</v>
      </c>
      <c r="S105" s="62">
        <f>E105/C105</f>
        <v>2.6379960097539349E-2</v>
      </c>
      <c r="W105" s="213">
        <f>AVERAGE(B99:B105)</f>
        <v>1254.7142857142858</v>
      </c>
      <c r="X105" s="36">
        <f>AVERAGE(D99:D105)</f>
        <v>24.142857142857142</v>
      </c>
    </row>
    <row r="106" spans="1:24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>C106-O106-N106-M106</f>
        <v>6094</v>
      </c>
      <c r="Q106" s="29">
        <f>F106-F105</f>
        <v>273</v>
      </c>
      <c r="R106" s="72">
        <f>G106/(C106-E106-F106)</f>
        <v>1.4884917535719208E-2</v>
      </c>
      <c r="S106" s="62">
        <f>E106/C106</f>
        <v>2.6048497788622844E-2</v>
      </c>
      <c r="W106" s="213">
        <f>AVERAGE(B100:B106)</f>
        <v>1309.2857142857142</v>
      </c>
      <c r="X106" s="36">
        <f>AVERAGE(D100:D106)</f>
        <v>23</v>
      </c>
    </row>
    <row r="107" spans="1:24" x14ac:dyDescent="0.25">
      <c r="A107" s="26">
        <f>A106+7</f>
        <v>44004</v>
      </c>
      <c r="B107" s="7">
        <f>C106*U106</f>
        <v>0</v>
      </c>
      <c r="C107" s="16">
        <f>C106+B107</f>
        <v>32785</v>
      </c>
      <c r="D107" s="4"/>
      <c r="E107" s="4"/>
      <c r="F107" s="29"/>
      <c r="G107" s="4"/>
      <c r="H107" s="4"/>
      <c r="I107" s="4"/>
      <c r="J107" s="7"/>
      <c r="K107" s="7"/>
      <c r="L107" s="4"/>
      <c r="M107" s="4"/>
      <c r="N107" s="4"/>
      <c r="O107" s="4"/>
      <c r="P107" s="4"/>
      <c r="Q107" s="4"/>
      <c r="R107" s="1"/>
      <c r="S107" s="4"/>
      <c r="T107" s="220">
        <v>2.7E-2</v>
      </c>
      <c r="U107" s="146">
        <f>(B107-C100)/C100</f>
        <v>-1</v>
      </c>
      <c r="V107" s="36">
        <f>C107*T107</f>
        <v>885.19499999999994</v>
      </c>
      <c r="W107" s="74"/>
      <c r="X107" s="36">
        <f>AVERAGE(D101:D107)</f>
        <v>22.833333333333332</v>
      </c>
    </row>
    <row r="108" spans="1:24" x14ac:dyDescent="0.25">
      <c r="A108" s="2">
        <v>43998</v>
      </c>
      <c r="B108" s="11">
        <v>1374</v>
      </c>
      <c r="C108" s="4">
        <v>34159</v>
      </c>
      <c r="D108" s="4">
        <v>24</v>
      </c>
      <c r="E108" s="12">
        <v>878</v>
      </c>
      <c r="F108" s="82">
        <v>10512</v>
      </c>
      <c r="G108" s="18">
        <v>345</v>
      </c>
      <c r="H108" s="12">
        <v>5556</v>
      </c>
      <c r="I108" s="12">
        <v>250615</v>
      </c>
      <c r="J108" s="7">
        <v>863</v>
      </c>
      <c r="K108" s="7">
        <v>171855</v>
      </c>
      <c r="L108" s="4">
        <v>172718</v>
      </c>
      <c r="M108" s="12">
        <v>1030</v>
      </c>
      <c r="N108" s="12">
        <v>13340</v>
      </c>
      <c r="O108" s="12">
        <v>13602</v>
      </c>
      <c r="P108" s="16">
        <f>C108-O108-N108-M108</f>
        <v>6187</v>
      </c>
      <c r="Q108" s="29">
        <f>F108-F107</f>
        <v>10512</v>
      </c>
      <c r="R108" s="72">
        <f>G108/(C108-E108-F108)</f>
        <v>1.5152180596424964E-2</v>
      </c>
      <c r="S108" s="62">
        <f>E108/C108</f>
        <v>2.5703328551772594E-2</v>
      </c>
      <c r="T108" s="227"/>
      <c r="V108" s="227"/>
      <c r="W108" s="213">
        <f>AVERAGE(B102:B108)</f>
        <v>1167.4285714285713</v>
      </c>
      <c r="X108" s="36">
        <f>AVERAGE(D102:D108)</f>
        <v>23.833333333333332</v>
      </c>
    </row>
    <row r="109" spans="1:24" x14ac:dyDescent="0.25">
      <c r="A109" s="2">
        <v>43999</v>
      </c>
      <c r="B109" s="16">
        <v>1393</v>
      </c>
      <c r="C109" s="16">
        <v>35552</v>
      </c>
      <c r="D109" s="4">
        <v>35</v>
      </c>
      <c r="E109" s="12">
        <v>913</v>
      </c>
      <c r="F109" s="82">
        <v>10721</v>
      </c>
      <c r="G109" s="18">
        <v>353</v>
      </c>
      <c r="H109" s="4">
        <v>6477</v>
      </c>
      <c r="I109" s="4">
        <v>257092</v>
      </c>
      <c r="J109" s="7">
        <v>882</v>
      </c>
      <c r="K109" s="7">
        <v>175554</v>
      </c>
      <c r="L109" s="4">
        <v>176436</v>
      </c>
      <c r="M109" s="12">
        <v>1036</v>
      </c>
      <c r="N109" s="12">
        <v>13805</v>
      </c>
      <c r="O109" s="12">
        <v>14433</v>
      </c>
      <c r="P109" s="16">
        <f>C109-O109-N109-M109</f>
        <v>6278</v>
      </c>
      <c r="Q109" s="29">
        <f>F109-F108</f>
        <v>209</v>
      </c>
      <c r="R109" s="72">
        <f>G109/(C109-E109-F109)</f>
        <v>1.4758759093569697E-2</v>
      </c>
      <c r="S109" s="62">
        <f>E109/C109</f>
        <v>2.5680693069306929E-2</v>
      </c>
      <c r="T109" s="227"/>
      <c r="V109" s="227"/>
      <c r="W109" s="213">
        <f>AVERAGE(B103:B109)</f>
        <v>1168.4285714285713</v>
      </c>
      <c r="X109" s="36">
        <f>AVERAGE(D103:D109)</f>
        <v>24.666666666666668</v>
      </c>
    </row>
    <row r="110" spans="1:24" x14ac:dyDescent="0.25">
      <c r="A110" s="2">
        <v>44000</v>
      </c>
      <c r="B110" s="11">
        <v>1958</v>
      </c>
      <c r="C110" s="16">
        <v>37510</v>
      </c>
      <c r="D110" s="4">
        <v>35</v>
      </c>
      <c r="E110" s="12">
        <v>948</v>
      </c>
      <c r="F110" s="76">
        <v>11851</v>
      </c>
      <c r="G110" s="4">
        <v>364</v>
      </c>
      <c r="H110" s="4">
        <v>7512</v>
      </c>
      <c r="I110" s="4">
        <v>264604</v>
      </c>
      <c r="J110" s="7">
        <v>906</v>
      </c>
      <c r="K110" s="7">
        <v>180447</v>
      </c>
      <c r="L110" s="4">
        <v>181353</v>
      </c>
      <c r="M110" s="12">
        <v>1049</v>
      </c>
      <c r="N110" s="12">
        <v>14420</v>
      </c>
      <c r="O110" s="12">
        <v>15347</v>
      </c>
      <c r="P110" s="16">
        <f>C110-O110-N110-M110</f>
        <v>6694</v>
      </c>
      <c r="Q110" s="29">
        <f>F110-F109</f>
        <v>1130</v>
      </c>
      <c r="R110" s="72">
        <f>G110/(C110-E110-F110)</f>
        <v>1.4730282060620777E-2</v>
      </c>
      <c r="S110" s="62">
        <f>E110/C110</f>
        <v>2.5273260463876301E-2</v>
      </c>
      <c r="W110" s="213">
        <f>AVERAGE(B104:B110)</f>
        <v>1249.4285714285713</v>
      </c>
      <c r="X110" s="36">
        <f>AVERAGE(D104:D110)</f>
        <v>27.166666666666668</v>
      </c>
    </row>
    <row r="111" spans="1:24" x14ac:dyDescent="0.25">
      <c r="A111" s="2">
        <v>44001</v>
      </c>
      <c r="B111" s="11">
        <v>2060</v>
      </c>
      <c r="C111" s="16">
        <v>39570</v>
      </c>
      <c r="D111" s="4">
        <v>31</v>
      </c>
      <c r="E111" s="12">
        <v>979</v>
      </c>
      <c r="F111" s="76">
        <v>12206</v>
      </c>
      <c r="G111" s="4">
        <v>364</v>
      </c>
      <c r="H111" s="4">
        <v>8625</v>
      </c>
      <c r="I111" s="4">
        <v>273229</v>
      </c>
      <c r="J111" s="7">
        <v>931</v>
      </c>
      <c r="K111" s="7">
        <v>185302</v>
      </c>
      <c r="L111" s="4">
        <v>186233</v>
      </c>
      <c r="M111" s="12">
        <v>1044</v>
      </c>
      <c r="N111" s="12">
        <v>15003</v>
      </c>
      <c r="O111" s="12">
        <v>16383</v>
      </c>
      <c r="P111" s="16">
        <f>C111-O111-N111-M111</f>
        <v>7140</v>
      </c>
      <c r="Q111" s="29">
        <f>F111-F110</f>
        <v>355</v>
      </c>
      <c r="R111" s="72">
        <f>G111/(C111-E111-F111)</f>
        <v>1.3795717263596741E-2</v>
      </c>
      <c r="S111" s="62">
        <f>E111/C111</f>
        <v>2.4740965377811473E-2</v>
      </c>
      <c r="W111" s="213">
        <f>AVERAGE(B105:B111)</f>
        <v>1325</v>
      </c>
      <c r="X111" s="36">
        <f>AVERAGE(D105:D111)</f>
        <v>27.333333333333332</v>
      </c>
    </row>
    <row r="112" spans="1:24" x14ac:dyDescent="0.25">
      <c r="A112" s="2">
        <v>44002</v>
      </c>
      <c r="B112" s="11">
        <v>1634</v>
      </c>
      <c r="C112" s="34">
        <v>41204</v>
      </c>
      <c r="D112" s="12">
        <v>12</v>
      </c>
      <c r="E112" s="12">
        <v>991</v>
      </c>
      <c r="F112" s="225">
        <v>12728</v>
      </c>
      <c r="G112" s="4">
        <v>381</v>
      </c>
      <c r="H112" s="4">
        <v>6443</v>
      </c>
      <c r="I112" s="4">
        <v>279672</v>
      </c>
      <c r="J112" s="7">
        <v>950</v>
      </c>
      <c r="K112" s="7">
        <v>188951</v>
      </c>
      <c r="L112" s="4">
        <v>189901</v>
      </c>
      <c r="M112" s="4">
        <v>1046</v>
      </c>
      <c r="N112" s="4">
        <v>15528</v>
      </c>
      <c r="O112" s="4">
        <v>17095</v>
      </c>
      <c r="P112" s="16">
        <f>C112-O112-N112-M112</f>
        <v>7535</v>
      </c>
      <c r="Q112" s="29">
        <f>F112-F111</f>
        <v>522</v>
      </c>
      <c r="R112" s="72">
        <f>G112/(C112-E112-F112)</f>
        <v>1.3862106603601964E-2</v>
      </c>
      <c r="S112" s="62">
        <f>E112/C112</f>
        <v>2.4051063003591885E-2</v>
      </c>
      <c r="W112" s="213">
        <f>AVERAGE(B106:B112)</f>
        <v>1375.2857142857142</v>
      </c>
      <c r="X112" s="36">
        <f>AVERAGE(D106:D112)</f>
        <v>26.333333333333332</v>
      </c>
    </row>
    <row r="113" spans="1:24" x14ac:dyDescent="0.25">
      <c r="A113" s="26">
        <f>A112+7</f>
        <v>44009</v>
      </c>
      <c r="B113" s="7">
        <f>C112*0.03</f>
        <v>1236.1199999999999</v>
      </c>
      <c r="C113" s="16">
        <f>C112+B113</f>
        <v>42440.12</v>
      </c>
      <c r="D113" s="4"/>
      <c r="E113" s="4"/>
      <c r="F113" s="237"/>
      <c r="G113" s="4"/>
      <c r="H113" s="4"/>
      <c r="I113" s="4"/>
      <c r="J113" s="7"/>
      <c r="K113" s="7"/>
      <c r="L113" s="4"/>
      <c r="M113" s="4"/>
      <c r="N113" s="4"/>
      <c r="O113" s="4"/>
      <c r="P113" s="4"/>
      <c r="Q113" s="4"/>
      <c r="R113" s="1"/>
      <c r="S113" s="4"/>
      <c r="T113" s="220">
        <v>2.7E-2</v>
      </c>
      <c r="U113" s="146">
        <f>(B113-C106)/C106</f>
        <v>-0.96229617202989171</v>
      </c>
      <c r="V113" s="36">
        <f>C113*T113</f>
        <v>1145.8832400000001</v>
      </c>
      <c r="W113" s="74"/>
      <c r="X113" s="36">
        <f>AVERAGE(D107:D113)</f>
        <v>27.4</v>
      </c>
    </row>
    <row r="114" spans="1:24" x14ac:dyDescent="0.25">
      <c r="A114" s="2">
        <v>44003</v>
      </c>
      <c r="B114" s="11">
        <v>1581</v>
      </c>
      <c r="C114" s="16">
        <v>42785</v>
      </c>
      <c r="D114" s="12">
        <v>19</v>
      </c>
      <c r="E114" s="4">
        <v>1011</v>
      </c>
      <c r="F114" s="194">
        <v>13153</v>
      </c>
      <c r="G114" s="4">
        <v>397</v>
      </c>
      <c r="H114" s="4">
        <v>5719</v>
      </c>
      <c r="I114" s="7">
        <v>285391</v>
      </c>
      <c r="J114" s="7">
        <v>773.26800000001094</v>
      </c>
      <c r="K114" s="7">
        <v>192543.73199999999</v>
      </c>
      <c r="L114" s="4">
        <v>193317</v>
      </c>
      <c r="M114" s="4">
        <v>1047</v>
      </c>
      <c r="N114" s="4">
        <v>16101</v>
      </c>
      <c r="O114" s="4">
        <v>17750</v>
      </c>
      <c r="P114" s="16">
        <f>C114-O114-N114-M114</f>
        <v>7887</v>
      </c>
      <c r="Q114" s="29">
        <f>F114-F113</f>
        <v>13153</v>
      </c>
      <c r="R114" s="72">
        <f>G114/(C114-E114-F114)</f>
        <v>1.3870933929632089E-2</v>
      </c>
      <c r="S114" s="62">
        <f>E114/C114</f>
        <v>2.3629776790931402E-2</v>
      </c>
      <c r="W114" s="213">
        <f>AVERAGE(B108:B114)</f>
        <v>1605.1599999999999</v>
      </c>
      <c r="X114" s="36">
        <f>AVERAGE(D108:D114)</f>
        <v>26</v>
      </c>
    </row>
    <row r="115" spans="1:24" x14ac:dyDescent="0.25">
      <c r="A115" s="2">
        <v>44004</v>
      </c>
      <c r="B115" s="11">
        <v>2146</v>
      </c>
      <c r="C115" s="34">
        <v>44931</v>
      </c>
      <c r="D115" s="4">
        <v>32</v>
      </c>
      <c r="E115" s="4">
        <f>E114+D115</f>
        <v>1043</v>
      </c>
      <c r="F115" s="194">
        <v>13576</v>
      </c>
      <c r="G115" s="4">
        <v>414</v>
      </c>
      <c r="H115" s="4">
        <v>7120</v>
      </c>
      <c r="I115" s="7">
        <v>292511</v>
      </c>
      <c r="J115" s="21">
        <v>790</v>
      </c>
      <c r="K115" s="21">
        <v>196839</v>
      </c>
      <c r="L115" s="4">
        <v>197629</v>
      </c>
      <c r="M115" s="16">
        <v>1050</v>
      </c>
      <c r="N115" s="16">
        <v>16924</v>
      </c>
      <c r="O115" s="16">
        <v>18537</v>
      </c>
      <c r="P115" s="16">
        <f>C115-O115-N115-M115</f>
        <v>8420</v>
      </c>
      <c r="Q115" s="29">
        <f>F115-F114</f>
        <v>423</v>
      </c>
      <c r="R115" s="72">
        <f>G115/(C115-E115-F115)</f>
        <v>1.3657957244655582E-2</v>
      </c>
      <c r="S115" s="62">
        <f>E115/C115</f>
        <v>2.3213371614252964E-2</v>
      </c>
      <c r="W115" s="213">
        <f>AVERAGE(B109:B115)</f>
        <v>1715.4457142857141</v>
      </c>
      <c r="X115" s="36">
        <f>AVERAGE(D109:D115)</f>
        <v>27.333333333333332</v>
      </c>
    </row>
    <row r="116" spans="1:24" x14ac:dyDescent="0.25">
      <c r="A116" s="2">
        <v>44005</v>
      </c>
      <c r="B116" s="16">
        <v>2285</v>
      </c>
      <c r="C116" s="16">
        <f>C115+B116</f>
        <v>47216</v>
      </c>
      <c r="D116" s="4">
        <v>35</v>
      </c>
      <c r="E116" s="4">
        <f>E115+D116</f>
        <v>1078</v>
      </c>
      <c r="F116" s="194">
        <v>13816</v>
      </c>
      <c r="G116" s="4">
        <v>433</v>
      </c>
      <c r="H116" s="4">
        <v>7832</v>
      </c>
      <c r="I116" s="16">
        <v>300343</v>
      </c>
      <c r="J116" s="21">
        <v>812</v>
      </c>
      <c r="K116" s="67">
        <v>202380</v>
      </c>
      <c r="L116" s="16">
        <v>203192</v>
      </c>
      <c r="M116" s="12">
        <v>1052</v>
      </c>
      <c r="N116" s="16">
        <v>17655</v>
      </c>
      <c r="O116" s="16">
        <v>19603</v>
      </c>
      <c r="P116" s="16">
        <f>C116-O116-N116-M116</f>
        <v>8906</v>
      </c>
      <c r="Q116" s="29">
        <f>F116-F115</f>
        <v>240</v>
      </c>
      <c r="R116" s="72">
        <f>G116/(C116-E116-F116)</f>
        <v>1.3396448239589135E-2</v>
      </c>
      <c r="S116" s="62">
        <f>E116/C116</f>
        <v>2.2831243646221619E-2</v>
      </c>
      <c r="W116" s="213">
        <f>AVERAGE(B110:B116)</f>
        <v>1842.8742857142856</v>
      </c>
      <c r="X116" s="36">
        <f>AVERAGE(D110:D116)</f>
        <v>27.333333333333332</v>
      </c>
    </row>
    <row r="117" spans="1:24" x14ac:dyDescent="0.25">
      <c r="A117" s="2">
        <v>44006</v>
      </c>
      <c r="B117" s="11">
        <v>2635</v>
      </c>
      <c r="C117" s="16">
        <v>49851</v>
      </c>
      <c r="D117" s="4">
        <v>38</v>
      </c>
      <c r="E117" s="4">
        <v>1116</v>
      </c>
      <c r="F117" s="194">
        <v>14788</v>
      </c>
      <c r="G117" s="4">
        <v>457</v>
      </c>
      <c r="H117" s="4">
        <v>9258</v>
      </c>
      <c r="I117" s="4">
        <v>309601</v>
      </c>
      <c r="J117" s="21">
        <v>832.92800000001444</v>
      </c>
      <c r="K117" s="21">
        <v>207399.07199999999</v>
      </c>
      <c r="L117" s="1">
        <v>208232</v>
      </c>
      <c r="M117" s="11">
        <v>1060</v>
      </c>
      <c r="N117" s="11">
        <v>18460</v>
      </c>
      <c r="O117" s="11">
        <v>20816</v>
      </c>
      <c r="P117" s="16">
        <f>C117-O117-N117-M117</f>
        <v>9515</v>
      </c>
      <c r="Q117" s="29">
        <f>F117-F116</f>
        <v>972</v>
      </c>
      <c r="R117" s="72">
        <f>G117/(C117-E117-F117)</f>
        <v>1.3462161604854627E-2</v>
      </c>
      <c r="S117" s="62">
        <f>E117/C117</f>
        <v>2.2386712402960824E-2</v>
      </c>
      <c r="W117" s="213">
        <f>AVERAGE(B111:B117)</f>
        <v>1939.5885714285712</v>
      </c>
      <c r="X117" s="36">
        <f>AVERAGE(D111:D117)</f>
        <v>27.833333333333332</v>
      </c>
    </row>
    <row r="118" spans="1:24" x14ac:dyDescent="0.25">
      <c r="A118" s="2">
        <v>44007</v>
      </c>
      <c r="B118" s="16">
        <v>2606</v>
      </c>
      <c r="C118" s="34">
        <v>52457</v>
      </c>
      <c r="D118" s="4">
        <v>34</v>
      </c>
      <c r="E118" s="4">
        <v>1150</v>
      </c>
      <c r="F118" s="194">
        <v>18416</v>
      </c>
      <c r="G118" s="4">
        <v>472</v>
      </c>
      <c r="H118" s="4">
        <v>9120</v>
      </c>
      <c r="I118" s="4">
        <v>318721</v>
      </c>
      <c r="J118" s="7">
        <v>852</v>
      </c>
      <c r="K118" s="7">
        <v>212323</v>
      </c>
      <c r="L118" s="4">
        <v>213175</v>
      </c>
      <c r="M118" s="4">
        <v>1061</v>
      </c>
      <c r="N118" s="4">
        <v>19202</v>
      </c>
      <c r="O118" s="4">
        <v>22078</v>
      </c>
      <c r="P118" s="16">
        <f>C118-O118-N118-M118</f>
        <v>10116</v>
      </c>
      <c r="Q118" s="29">
        <f>F118-F117</f>
        <v>3628</v>
      </c>
      <c r="R118" s="72">
        <f>G118/(C118-E118-F118)</f>
        <v>1.4350430208871728E-2</v>
      </c>
      <c r="S118" s="62">
        <f>E118/C118</f>
        <v>2.1922717654459842E-2</v>
      </c>
      <c r="W118" s="213">
        <f>AVERAGE(B112:B118)</f>
        <v>2017.5885714285712</v>
      </c>
      <c r="X118" s="36">
        <f>AVERAGE(D112:D118)</f>
        <v>28.333333333333332</v>
      </c>
    </row>
    <row r="119" spans="1:24" x14ac:dyDescent="0.25">
      <c r="A119" s="2">
        <v>44008</v>
      </c>
      <c r="B119" s="11">
        <v>2886</v>
      </c>
      <c r="C119" s="4">
        <v>55343</v>
      </c>
      <c r="D119" s="12">
        <v>34</v>
      </c>
      <c r="E119" s="12">
        <v>1184</v>
      </c>
      <c r="F119" s="194">
        <v>19143</v>
      </c>
      <c r="G119" s="4">
        <v>507</v>
      </c>
      <c r="H119" s="4">
        <v>10315</v>
      </c>
      <c r="I119" s="4">
        <v>329036</v>
      </c>
      <c r="J119" s="7">
        <v>874</v>
      </c>
      <c r="K119" s="7">
        <v>217766</v>
      </c>
      <c r="L119" s="4">
        <v>218640</v>
      </c>
      <c r="M119" s="12">
        <v>1061</v>
      </c>
      <c r="N119" s="12">
        <v>20095</v>
      </c>
      <c r="O119" s="12">
        <v>23464</v>
      </c>
      <c r="P119" s="16">
        <f>C119-O119-N119-M119</f>
        <v>10723</v>
      </c>
      <c r="Q119" s="29">
        <f>F119-F118</f>
        <v>727</v>
      </c>
      <c r="R119" s="72">
        <f>G119/(C119-E119-F119)</f>
        <v>1.4479095270733379E-2</v>
      </c>
      <c r="S119" s="62">
        <f>E119/C119</f>
        <v>2.1393852881123176E-2</v>
      </c>
      <c r="W119" s="213">
        <f>AVERAGE(B113:B119)</f>
        <v>2196.4457142857141</v>
      </c>
      <c r="X119" s="36">
        <f>AVERAGE(D113:D119)</f>
        <v>32</v>
      </c>
    </row>
    <row r="120" spans="1:24" x14ac:dyDescent="0.25">
      <c r="A120" s="2">
        <v>44009</v>
      </c>
      <c r="B120" s="34">
        <v>2401</v>
      </c>
      <c r="C120" s="16">
        <v>57744</v>
      </c>
      <c r="D120" s="4">
        <v>23</v>
      </c>
      <c r="E120" s="12">
        <v>1207</v>
      </c>
      <c r="F120" s="194">
        <v>20134</v>
      </c>
      <c r="G120" s="4">
        <v>542</v>
      </c>
      <c r="H120" s="4">
        <v>7915</v>
      </c>
      <c r="I120" s="4">
        <v>336951</v>
      </c>
      <c r="J120" s="7">
        <v>892.88399999999092</v>
      </c>
      <c r="K120" s="7">
        <v>222328.11600000001</v>
      </c>
      <c r="L120" s="4">
        <v>223221</v>
      </c>
      <c r="M120" s="12">
        <v>1062</v>
      </c>
      <c r="N120" s="4">
        <v>20807</v>
      </c>
      <c r="O120" s="4">
        <v>24743</v>
      </c>
      <c r="P120" s="16">
        <f>C120-O120-N120-M120</f>
        <v>11132</v>
      </c>
      <c r="Q120" s="29">
        <f>F120-F119</f>
        <v>991</v>
      </c>
      <c r="R120" s="72">
        <f>G120/(C120-E120-F120)</f>
        <v>1.4888882784385903E-2</v>
      </c>
      <c r="S120" s="62">
        <f>E120/C120</f>
        <v>2.090260459961208E-2</v>
      </c>
      <c r="W120" s="213">
        <f>AVERAGE(B114:B120)</f>
        <v>2362.8571428571427</v>
      </c>
      <c r="X120" s="36">
        <f>AVERAGE(D114:D120)</f>
        <v>30.714285714285715</v>
      </c>
    </row>
    <row r="121" spans="1:24" x14ac:dyDescent="0.25">
      <c r="A121" s="2">
        <v>44010</v>
      </c>
      <c r="B121" s="11">
        <v>2189</v>
      </c>
      <c r="C121" s="16">
        <f>C120+B121</f>
        <v>59933</v>
      </c>
      <c r="D121" s="4">
        <v>26</v>
      </c>
      <c r="E121" s="4">
        <f>E120+D121</f>
        <v>1233</v>
      </c>
      <c r="F121" s="194">
        <v>21138</v>
      </c>
      <c r="G121" s="4">
        <v>535</v>
      </c>
      <c r="H121" s="4">
        <v>7458</v>
      </c>
      <c r="I121" s="4">
        <v>344409</v>
      </c>
      <c r="J121" s="7">
        <v>908</v>
      </c>
      <c r="K121" s="7">
        <v>226138</v>
      </c>
      <c r="L121" s="4">
        <v>227046</v>
      </c>
      <c r="M121" s="4">
        <v>1063</v>
      </c>
      <c r="N121" s="4">
        <v>21599</v>
      </c>
      <c r="O121" s="4">
        <v>25600</v>
      </c>
      <c r="P121" s="16">
        <f>C121-O121-N121-M121</f>
        <v>11671</v>
      </c>
      <c r="Q121" s="29">
        <f>F121-F120</f>
        <v>1004</v>
      </c>
      <c r="R121" s="72">
        <f>G121/(C121-E121-F121)</f>
        <v>1.4243118044832543E-2</v>
      </c>
      <c r="S121" s="62">
        <f>E121/C121</f>
        <v>2.057297315335458E-2</v>
      </c>
      <c r="W121" s="213">
        <f>AVERAGE(B115:B121)</f>
        <v>2449.7142857142858</v>
      </c>
      <c r="X121" s="36">
        <f>AVERAGE(D115:D121)</f>
        <v>31.714285714285715</v>
      </c>
    </row>
    <row r="122" spans="1:24" x14ac:dyDescent="0.25">
      <c r="A122" s="73">
        <v>44011</v>
      </c>
      <c r="B122" s="34">
        <v>2335</v>
      </c>
      <c r="C122" s="16">
        <f>C121+B122</f>
        <v>62268</v>
      </c>
      <c r="D122" s="4">
        <v>48</v>
      </c>
      <c r="E122" s="4">
        <f>E121+D122</f>
        <v>1281</v>
      </c>
      <c r="F122" s="194">
        <v>22028</v>
      </c>
      <c r="G122" s="4">
        <v>555</v>
      </c>
      <c r="H122" s="4">
        <v>7933</v>
      </c>
      <c r="I122" s="4">
        <v>350402</v>
      </c>
      <c r="J122" s="7">
        <v>928</v>
      </c>
      <c r="K122" s="7">
        <f>L122-J122</f>
        <v>231088</v>
      </c>
      <c r="L122" s="4">
        <v>232016</v>
      </c>
      <c r="M122" s="4">
        <v>1064</v>
      </c>
      <c r="N122" s="4">
        <v>22481</v>
      </c>
      <c r="O122" s="4">
        <v>27136</v>
      </c>
      <c r="P122" s="16">
        <f>C122-O122-N122-M122</f>
        <v>11587</v>
      </c>
      <c r="Q122" s="29">
        <f>F122-F121</f>
        <v>890</v>
      </c>
      <c r="R122" s="72">
        <f>G122/(C122-E122-F122)</f>
        <v>1.4245745527349264E-2</v>
      </c>
      <c r="S122" s="62">
        <f>E122/C122</f>
        <v>2.0572364617460013E-2</v>
      </c>
      <c r="W122" s="213">
        <f>AVERAGE(B116:B122)</f>
        <v>2476.7142857142858</v>
      </c>
      <c r="X122" s="36">
        <f>AVERAGE(D116:D122)</f>
        <v>34</v>
      </c>
    </row>
    <row r="123" spans="1:24" x14ac:dyDescent="0.25">
      <c r="A123" s="26">
        <f>A122+7</f>
        <v>44018</v>
      </c>
      <c r="B123" s="7">
        <f>C122*0.03</f>
        <v>1868.04</v>
      </c>
      <c r="C123" s="16">
        <f>C122+B123</f>
        <v>64136.04</v>
      </c>
      <c r="D123" s="4"/>
      <c r="E123" s="4"/>
      <c r="F123" s="237"/>
      <c r="G123" s="4"/>
      <c r="H123" s="4"/>
      <c r="I123" s="4"/>
      <c r="J123" s="7"/>
      <c r="K123" s="7"/>
      <c r="L123" s="4"/>
      <c r="M123" s="4"/>
      <c r="N123" s="4"/>
      <c r="O123" s="4"/>
      <c r="P123" s="4"/>
      <c r="Q123" s="4"/>
      <c r="R123" s="1"/>
      <c r="S123" s="4"/>
      <c r="T123" s="220">
        <v>2.7E-2</v>
      </c>
      <c r="U123" s="146">
        <f>(B123-C116)/C116</f>
        <v>-0.96043629278210774</v>
      </c>
      <c r="V123" s="36">
        <f>C123*T123</f>
        <v>1731.67308</v>
      </c>
      <c r="W123" s="74"/>
      <c r="X123" s="36">
        <f>AVERAGE(D117:D123)</f>
        <v>33.833333333333336</v>
      </c>
    </row>
    <row r="124" spans="1:24" ht="16.5" customHeight="1" x14ac:dyDescent="0.25">
      <c r="A124" s="2">
        <v>44012</v>
      </c>
      <c r="B124" s="16">
        <v>2262</v>
      </c>
      <c r="C124" s="16">
        <v>64530</v>
      </c>
      <c r="D124" s="4">
        <v>27</v>
      </c>
      <c r="E124" s="4">
        <v>1307</v>
      </c>
      <c r="F124" s="194">
        <v>23040</v>
      </c>
      <c r="G124" s="4">
        <v>576</v>
      </c>
      <c r="H124" s="4">
        <v>10506</v>
      </c>
      <c r="I124" s="4">
        <v>362908</v>
      </c>
      <c r="J124" s="7">
        <v>946</v>
      </c>
      <c r="K124" s="7">
        <f>L124-J124</f>
        <v>235617</v>
      </c>
      <c r="L124" s="4">
        <v>236563</v>
      </c>
      <c r="M124" s="16">
        <v>1065</v>
      </c>
      <c r="N124" s="4">
        <v>23565</v>
      </c>
      <c r="O124" s="16">
        <v>28732</v>
      </c>
      <c r="P124" s="16">
        <f>C124-O124-N124-M124</f>
        <v>11168</v>
      </c>
      <c r="Q124" s="29">
        <f>F124-F123</f>
        <v>23040</v>
      </c>
      <c r="R124" s="72">
        <f>G124/(C124-E124-F124)</f>
        <v>1.4334420028370206E-2</v>
      </c>
      <c r="S124" s="62">
        <f>E124/C124</f>
        <v>2.0254145358747869E-2</v>
      </c>
      <c r="W124" s="213">
        <f>AVERAGE(B118:B124)</f>
        <v>2363.8628571428571</v>
      </c>
      <c r="X124" s="36">
        <f>AVERAGE(D118:D124)</f>
        <v>32</v>
      </c>
    </row>
    <row r="125" spans="1:24" x14ac:dyDescent="0.25">
      <c r="A125" s="2">
        <v>44013</v>
      </c>
      <c r="B125" s="34">
        <v>2667</v>
      </c>
      <c r="C125" s="16">
        <f>C124+B125</f>
        <v>67197</v>
      </c>
      <c r="D125" s="4">
        <v>44</v>
      </c>
      <c r="E125" s="4">
        <f>E124+D125</f>
        <v>1351</v>
      </c>
      <c r="F125" s="194">
        <v>24186</v>
      </c>
      <c r="G125" s="4">
        <v>594</v>
      </c>
      <c r="H125" s="4">
        <v>9200</v>
      </c>
      <c r="I125" s="4">
        <v>372108</v>
      </c>
      <c r="J125" s="7">
        <v>966</v>
      </c>
      <c r="K125" s="7">
        <v>240610</v>
      </c>
      <c r="L125" s="4">
        <v>246576</v>
      </c>
      <c r="M125" s="12">
        <v>1066</v>
      </c>
      <c r="N125" s="12">
        <v>24124</v>
      </c>
      <c r="O125" s="12">
        <v>30493</v>
      </c>
      <c r="P125" s="16">
        <f>C125-O125-N125-M125</f>
        <v>11514</v>
      </c>
      <c r="Q125" s="29">
        <f>F125-F124</f>
        <v>1146</v>
      </c>
      <c r="R125" s="72">
        <f>G125/(C125-E125-F125)</f>
        <v>1.4258281325012001E-2</v>
      </c>
      <c r="S125" s="62">
        <f>E125/C125</f>
        <v>2.0105064214176228E-2</v>
      </c>
      <c r="W125" s="213">
        <f>AVERAGE(B119:B125)</f>
        <v>2372.5771428571429</v>
      </c>
      <c r="X125" s="36">
        <f>AVERAGE(D119:D125)</f>
        <v>33.666666666666664</v>
      </c>
    </row>
    <row r="126" spans="1:24" x14ac:dyDescent="0.25">
      <c r="A126" s="2">
        <v>44014</v>
      </c>
      <c r="B126" s="34">
        <v>2744</v>
      </c>
      <c r="C126" s="16">
        <f>C125+B126</f>
        <v>69941</v>
      </c>
      <c r="D126" s="4">
        <v>34</v>
      </c>
      <c r="E126" s="4">
        <f>D126+E125</f>
        <v>1385</v>
      </c>
      <c r="F126" s="194">
        <v>25224</v>
      </c>
      <c r="G126" s="4">
        <v>620</v>
      </c>
      <c r="H126" s="4">
        <v>9323</v>
      </c>
      <c r="I126" s="4">
        <v>381431</v>
      </c>
      <c r="J126" s="7">
        <f>L126-K126</f>
        <v>737.55600000001141</v>
      </c>
      <c r="K126" s="7">
        <f>L126*0.997</f>
        <v>245114.44399999999</v>
      </c>
      <c r="L126" s="4">
        <v>245852</v>
      </c>
      <c r="M126" s="4">
        <v>1067</v>
      </c>
      <c r="N126" s="4">
        <v>24969</v>
      </c>
      <c r="O126" s="4">
        <v>32144</v>
      </c>
      <c r="P126" s="16">
        <f>C126-O126-N126-M126</f>
        <v>11761</v>
      </c>
      <c r="Q126" s="29">
        <f>F126-F125</f>
        <v>1038</v>
      </c>
      <c r="R126" s="72">
        <f>G126/(C126-E126-F126)</f>
        <v>1.4308132557924859E-2</v>
      </c>
      <c r="S126" s="62">
        <f>E126/C126</f>
        <v>1.9802404884116612E-2</v>
      </c>
      <c r="W126" s="213">
        <f>AVERAGE(B120:B126)</f>
        <v>2352.2914285714287</v>
      </c>
      <c r="X126" s="36">
        <f>AVERAGE(D120:D126)</f>
        <v>33.666666666666664</v>
      </c>
    </row>
    <row r="127" spans="1:24" x14ac:dyDescent="0.25">
      <c r="A127" s="2">
        <v>44015</v>
      </c>
      <c r="B127" s="35">
        <v>2845</v>
      </c>
      <c r="C127" s="32">
        <f>C126+B127</f>
        <v>72786</v>
      </c>
      <c r="D127" s="1">
        <v>52</v>
      </c>
      <c r="E127" s="1">
        <f>E126+D127</f>
        <v>1437</v>
      </c>
      <c r="F127" s="194">
        <v>25930</v>
      </c>
      <c r="G127" s="1">
        <v>637</v>
      </c>
      <c r="H127" s="4">
        <v>8951</v>
      </c>
      <c r="I127" s="19">
        <v>390382</v>
      </c>
      <c r="J127" s="7">
        <v>751</v>
      </c>
      <c r="K127" s="7">
        <v>249794</v>
      </c>
      <c r="L127" s="4">
        <f>K127+J127</f>
        <v>250545</v>
      </c>
      <c r="M127" s="12">
        <v>1068</v>
      </c>
      <c r="N127" s="12">
        <v>25848</v>
      </c>
      <c r="O127" s="12">
        <v>33867</v>
      </c>
      <c r="P127" s="16">
        <f>C127-O127-N127-M127</f>
        <v>12003</v>
      </c>
      <c r="Q127" s="29">
        <f>F127-F126</f>
        <v>706</v>
      </c>
      <c r="R127" s="72">
        <f>G127/(C127-E127-F127)</f>
        <v>1.4024967524604241E-2</v>
      </c>
      <c r="S127" s="62">
        <f>E127/C127</f>
        <v>1.9742807682796144E-2</v>
      </c>
      <c r="W127" s="213">
        <f>AVERAGE(B121:B127)</f>
        <v>2415.7200000000003</v>
      </c>
      <c r="X127" s="36">
        <f>AVERAGE(D121:D127)</f>
        <v>38.5</v>
      </c>
    </row>
    <row r="128" spans="1:24" x14ac:dyDescent="0.25">
      <c r="A128" s="2">
        <v>44016</v>
      </c>
      <c r="B128" s="35">
        <v>2590</v>
      </c>
      <c r="C128" s="32">
        <f>C127+B128</f>
        <v>75376</v>
      </c>
      <c r="D128" s="1">
        <v>44</v>
      </c>
      <c r="E128" s="1">
        <f>E127+D128</f>
        <v>1481</v>
      </c>
      <c r="F128" s="194">
        <v>27597</v>
      </c>
      <c r="G128" s="1">
        <v>658</v>
      </c>
      <c r="H128" s="4">
        <v>9072</v>
      </c>
      <c r="I128" s="19">
        <v>399454</v>
      </c>
      <c r="J128" s="7">
        <v>765</v>
      </c>
      <c r="K128" s="7">
        <v>254498</v>
      </c>
      <c r="L128" s="4">
        <v>255263</v>
      </c>
      <c r="M128" s="4">
        <v>1069</v>
      </c>
      <c r="N128" s="4">
        <v>26548</v>
      </c>
      <c r="O128" s="4">
        <v>35186</v>
      </c>
      <c r="P128" s="16">
        <f>C128-O128-N128-M128</f>
        <v>12573</v>
      </c>
      <c r="Q128" s="29">
        <f>F128-F127</f>
        <v>1667</v>
      </c>
      <c r="R128" s="72">
        <f>G128/(C128-E128-F128)</f>
        <v>1.4212276988206833E-2</v>
      </c>
      <c r="S128" s="62">
        <f>E128/C128</f>
        <v>1.9648163871789429E-2</v>
      </c>
      <c r="W128" s="213">
        <f>AVERAGE(B122:B128)</f>
        <v>2473.0057142857145</v>
      </c>
      <c r="X128" s="36">
        <f>AVERAGE(D122:D128)</f>
        <v>41.5</v>
      </c>
    </row>
    <row r="129" spans="1:24" x14ac:dyDescent="0.25">
      <c r="A129" s="2">
        <v>44017</v>
      </c>
      <c r="B129" s="34">
        <v>2439</v>
      </c>
      <c r="C129" s="4">
        <v>77815</v>
      </c>
      <c r="D129" s="4">
        <v>26</v>
      </c>
      <c r="E129" s="4">
        <f>E128+D129</f>
        <v>1507</v>
      </c>
      <c r="F129" s="194">
        <v>28531</v>
      </c>
      <c r="G129" s="1">
        <v>676</v>
      </c>
      <c r="H129" s="4">
        <v>6756</v>
      </c>
      <c r="I129" s="19">
        <v>406210</v>
      </c>
      <c r="J129" s="7">
        <v>776</v>
      </c>
      <c r="K129" s="7">
        <v>258025</v>
      </c>
      <c r="L129" s="4">
        <v>258801</v>
      </c>
      <c r="M129" s="12">
        <v>1072</v>
      </c>
      <c r="N129" s="12">
        <v>27239</v>
      </c>
      <c r="O129" s="12">
        <v>36235</v>
      </c>
      <c r="P129" s="4">
        <f>77815-O129-N129-M129</f>
        <v>13269</v>
      </c>
      <c r="Q129" s="29">
        <f>F129-F128</f>
        <v>934</v>
      </c>
      <c r="R129" s="72">
        <f>G129/(C129-E129-F129)</f>
        <v>1.4149067542960001E-2</v>
      </c>
      <c r="S129" s="62">
        <f>E129/C129</f>
        <v>1.9366446057957978E-2</v>
      </c>
      <c r="U129" s="146">
        <f>(C129-C122)/C122</f>
        <v>0.24967880773430975</v>
      </c>
      <c r="W129" s="213">
        <f>AVERAGE(B123:B129)</f>
        <v>2487.8628571428571</v>
      </c>
      <c r="X129" s="36">
        <f>AVERAGE(D123:D129)</f>
        <v>37.833333333333336</v>
      </c>
    </row>
    <row r="130" spans="1:24" x14ac:dyDescent="0.25">
      <c r="A130" s="73">
        <v>44018</v>
      </c>
      <c r="B130" s="4">
        <v>2632</v>
      </c>
      <c r="C130" s="4">
        <v>80447</v>
      </c>
      <c r="D130" s="4">
        <v>75</v>
      </c>
      <c r="E130" s="4">
        <v>1582</v>
      </c>
      <c r="F130" s="194">
        <v>30095</v>
      </c>
      <c r="G130" s="1">
        <v>688</v>
      </c>
      <c r="H130" s="4">
        <v>8487</v>
      </c>
      <c r="I130" s="19">
        <v>414697</v>
      </c>
      <c r="J130" s="7">
        <v>789</v>
      </c>
      <c r="K130" s="7">
        <f>L130-J130</f>
        <v>262367</v>
      </c>
      <c r="L130" s="4">
        <v>263156</v>
      </c>
      <c r="M130" s="4">
        <v>1073</v>
      </c>
      <c r="N130" s="4">
        <v>27991</v>
      </c>
      <c r="O130" s="4">
        <v>38006</v>
      </c>
      <c r="P130" s="4">
        <f>80447-O130-N130-M130</f>
        <v>13377</v>
      </c>
      <c r="Q130" s="29">
        <f>F130-F129</f>
        <v>1564</v>
      </c>
      <c r="R130" s="72">
        <f>G130/(C130-E130-F130)</f>
        <v>1.41070330120976E-2</v>
      </c>
      <c r="S130" s="62">
        <f>E130/C130</f>
        <v>1.966512113565453E-2</v>
      </c>
      <c r="U130" s="146">
        <f>(C130-C123)/C123</f>
        <v>0.25431816495062681</v>
      </c>
      <c r="W130" s="213">
        <f>AVERAGE(B124:B130)</f>
        <v>2597</v>
      </c>
      <c r="X130" s="36">
        <f>AVERAGE(D124:D130)</f>
        <v>43.142857142857146</v>
      </c>
    </row>
    <row r="131" spans="1:24" x14ac:dyDescent="0.25">
      <c r="A131" s="2">
        <v>44019</v>
      </c>
      <c r="B131" s="4">
        <v>2979</v>
      </c>
      <c r="C131" s="4">
        <v>83426</v>
      </c>
      <c r="D131" s="4">
        <v>62</v>
      </c>
      <c r="E131" s="12">
        <v>1644</v>
      </c>
      <c r="F131" s="194">
        <v>36502</v>
      </c>
      <c r="G131" s="4">
        <v>646</v>
      </c>
      <c r="H131" s="4">
        <v>9805</v>
      </c>
      <c r="I131" s="19">
        <v>423782</v>
      </c>
      <c r="J131" s="7">
        <v>803</v>
      </c>
      <c r="K131" s="7">
        <v>266938</v>
      </c>
      <c r="L131" s="4">
        <v>267741</v>
      </c>
      <c r="M131" s="12">
        <v>1074</v>
      </c>
      <c r="N131" s="12">
        <v>28792</v>
      </c>
      <c r="O131" s="12">
        <v>39718</v>
      </c>
      <c r="P131" s="4">
        <f>83426-O131-N131-M131</f>
        <v>13842</v>
      </c>
      <c r="Q131" s="29">
        <f>F131-F130</f>
        <v>6407</v>
      </c>
      <c r="R131" s="72">
        <f>G131/(C131-E131-F131)</f>
        <v>1.4266784452296819E-2</v>
      </c>
      <c r="S131" s="62">
        <f>E131/C131</f>
        <v>1.9706086831443436E-2</v>
      </c>
      <c r="U131" s="146">
        <f>(C131-C124)/C124</f>
        <v>0.29282504261583758</v>
      </c>
      <c r="W131" s="213">
        <f>AVERAGE(B125:B131)</f>
        <v>2699.4285714285716</v>
      </c>
      <c r="X131" s="36">
        <f>AVERAGE(D125:D131)</f>
        <v>48.142857142857146</v>
      </c>
    </row>
    <row r="132" spans="1:24" x14ac:dyDescent="0.25">
      <c r="A132" s="2">
        <v>44020</v>
      </c>
      <c r="B132" s="4">
        <v>3604</v>
      </c>
      <c r="C132" s="12">
        <v>87030</v>
      </c>
      <c r="D132" s="4">
        <v>51</v>
      </c>
      <c r="E132" s="33">
        <v>1695</v>
      </c>
      <c r="F132" s="194">
        <v>38313</v>
      </c>
      <c r="G132" s="4">
        <v>671</v>
      </c>
      <c r="H132" s="4">
        <v>10910</v>
      </c>
      <c r="I132" s="4">
        <v>434692</v>
      </c>
      <c r="J132" s="7">
        <v>819</v>
      </c>
      <c r="K132" s="7">
        <v>272349</v>
      </c>
      <c r="L132" s="4">
        <v>273168</v>
      </c>
      <c r="M132" s="12">
        <v>1074</v>
      </c>
      <c r="N132" s="12">
        <v>29747</v>
      </c>
      <c r="O132" s="12">
        <v>41495</v>
      </c>
      <c r="P132" s="4">
        <f>87030-O132-N132-M132</f>
        <v>14714</v>
      </c>
      <c r="Q132" s="29">
        <f>F132-F131</f>
        <v>1811</v>
      </c>
      <c r="R132" s="72">
        <f>G132/(C132-E132-F132)</f>
        <v>1.4269916209433882E-2</v>
      </c>
      <c r="S132" s="62">
        <f>E132/C132</f>
        <v>1.9476042743881421E-2</v>
      </c>
      <c r="U132" s="146">
        <f>(C132-C125)/C125</f>
        <v>0.29514710478146344</v>
      </c>
      <c r="W132" s="213">
        <f>AVERAGE(B126:B132)</f>
        <v>2833.2857142857142</v>
      </c>
      <c r="X132" s="36">
        <f>AVERAGE(D126:D132)</f>
        <v>49.142857142857146</v>
      </c>
    </row>
    <row r="133" spans="1:24" x14ac:dyDescent="0.25">
      <c r="A133" s="2">
        <v>44021</v>
      </c>
      <c r="B133" s="12">
        <v>3663</v>
      </c>
      <c r="C133" s="12">
        <v>90693</v>
      </c>
      <c r="D133" s="4">
        <v>26</v>
      </c>
      <c r="E133" s="12">
        <v>1721</v>
      </c>
      <c r="F133" s="194">
        <v>38984</v>
      </c>
      <c r="G133" s="4">
        <v>662</v>
      </c>
      <c r="H133" s="4">
        <v>11041</v>
      </c>
      <c r="I133" s="4">
        <v>445733</v>
      </c>
      <c r="J133" s="7">
        <v>836</v>
      </c>
      <c r="K133" s="7">
        <v>277811</v>
      </c>
      <c r="L133" s="4">
        <v>278647</v>
      </c>
      <c r="M133" s="12">
        <v>1076</v>
      </c>
      <c r="N133" s="12">
        <v>30597</v>
      </c>
      <c r="O133" s="12">
        <v>43374</v>
      </c>
      <c r="P133" s="4">
        <f>90693-O133-N133-M133</f>
        <v>15646</v>
      </c>
      <c r="Q133" s="29">
        <f>F133-F132</f>
        <v>671</v>
      </c>
      <c r="R133" s="72">
        <f>G133/(C133-E133-F133)</f>
        <v>1.3243178362807074E-2</v>
      </c>
      <c r="S133" s="62">
        <f>E133/C133</f>
        <v>1.8976106204447972E-2</v>
      </c>
      <c r="U133" s="146">
        <f>(C133-C126)/C126</f>
        <v>0.29670722466078553</v>
      </c>
      <c r="W133" s="213">
        <f>AVERAGE(B127:B133)</f>
        <v>2964.5714285714284</v>
      </c>
      <c r="X133" s="36">
        <f>AVERAGE(D127:D133)</f>
        <v>48</v>
      </c>
    </row>
    <row r="134" spans="1:24" x14ac:dyDescent="0.25">
      <c r="A134" s="2">
        <v>44022</v>
      </c>
      <c r="B134" s="12">
        <v>3367</v>
      </c>
      <c r="C134" s="4">
        <v>94060</v>
      </c>
      <c r="D134" s="4">
        <v>54</v>
      </c>
      <c r="E134" s="12">
        <v>1775</v>
      </c>
      <c r="F134" s="194">
        <v>41408</v>
      </c>
      <c r="G134" s="4">
        <v>686</v>
      </c>
      <c r="H134" s="4">
        <v>10309</v>
      </c>
      <c r="I134" s="4">
        <v>456042</v>
      </c>
      <c r="J134" s="7">
        <v>851</v>
      </c>
      <c r="K134" s="7">
        <v>283021</v>
      </c>
      <c r="L134" s="4">
        <f>K134+J134</f>
        <v>283872</v>
      </c>
      <c r="M134" s="4">
        <v>1078</v>
      </c>
      <c r="N134" s="4">
        <v>31739</v>
      </c>
      <c r="O134" s="4">
        <v>45328</v>
      </c>
      <c r="P134" s="4">
        <v>15915</v>
      </c>
      <c r="Q134" s="29">
        <f>F134-F133</f>
        <v>2424</v>
      </c>
      <c r="R134" s="72">
        <f>G134/(C134-E134-F134)</f>
        <v>1.3483499420170214E-2</v>
      </c>
      <c r="S134" s="62">
        <f>E134/C134</f>
        <v>1.8870933446736127E-2</v>
      </c>
      <c r="U134" s="146">
        <f>(C134-C127)/C127</f>
        <v>0.29228148270271753</v>
      </c>
      <c r="W134" s="213">
        <f>AVERAGE(B128:B134)</f>
        <v>3039.1428571428573</v>
      </c>
      <c r="X134" s="36">
        <f>AVERAGE(D128:D134)</f>
        <v>48.285714285714285</v>
      </c>
    </row>
    <row r="135" spans="1:24" x14ac:dyDescent="0.25">
      <c r="A135" s="2">
        <v>44023</v>
      </c>
      <c r="B135" s="12">
        <v>3449</v>
      </c>
      <c r="C135" s="12">
        <v>97509</v>
      </c>
      <c r="D135" s="4">
        <v>36</v>
      </c>
      <c r="E135" s="12">
        <v>1811</v>
      </c>
      <c r="F135" s="194">
        <v>42694</v>
      </c>
      <c r="G135" s="4">
        <v>701</v>
      </c>
      <c r="H135" s="4">
        <v>10266</v>
      </c>
      <c r="I135" s="4">
        <v>466308</v>
      </c>
      <c r="J135" s="7">
        <v>867</v>
      </c>
      <c r="K135" s="7">
        <v>288165</v>
      </c>
      <c r="L135" s="4">
        <f>K135+J135</f>
        <v>289032</v>
      </c>
      <c r="M135" s="12">
        <v>1080</v>
      </c>
      <c r="N135" s="12">
        <v>32616</v>
      </c>
      <c r="O135" s="12">
        <v>46824</v>
      </c>
      <c r="P135" s="12">
        <v>16989</v>
      </c>
      <c r="Q135" s="29">
        <f>F135-F134</f>
        <v>1286</v>
      </c>
      <c r="R135" s="72">
        <f>G135/(C135-E135-F135)</f>
        <v>1.3225416949664176E-2</v>
      </c>
      <c r="S135" s="62">
        <f>E135/C135</f>
        <v>1.8572644576398074E-2</v>
      </c>
      <c r="U135" s="146">
        <f>(C135-C128)/C128</f>
        <v>0.29363457864572279</v>
      </c>
      <c r="W135" s="213">
        <f>AVERAGE(B129:B135)</f>
        <v>3161.8571428571427</v>
      </c>
      <c r="X135" s="36">
        <f>AVERAGE(D129:D135)</f>
        <v>47.142857142857146</v>
      </c>
    </row>
    <row r="136" spans="1:24" x14ac:dyDescent="0.25">
      <c r="A136" s="2">
        <v>44024</v>
      </c>
      <c r="B136" s="12">
        <v>2657</v>
      </c>
      <c r="C136" s="12">
        <v>100166</v>
      </c>
      <c r="D136" s="12">
        <v>34</v>
      </c>
      <c r="E136" s="12">
        <v>1845</v>
      </c>
      <c r="F136" s="194">
        <v>44173</v>
      </c>
      <c r="G136" s="4">
        <v>735</v>
      </c>
      <c r="H136" s="4">
        <v>8114</v>
      </c>
      <c r="I136" s="4">
        <v>474422</v>
      </c>
      <c r="J136" s="7">
        <v>879</v>
      </c>
      <c r="K136" s="7">
        <v>292418</v>
      </c>
      <c r="L136" s="4">
        <f>K136+J136</f>
        <v>293297</v>
      </c>
      <c r="M136" s="12">
        <v>1081</v>
      </c>
      <c r="N136" s="12">
        <v>33376</v>
      </c>
      <c r="O136" s="12">
        <v>48213</v>
      </c>
      <c r="P136" s="4">
        <f>100166-O136-N136-M136</f>
        <v>17496</v>
      </c>
      <c r="Q136" s="29">
        <f>F136-F135</f>
        <v>1479</v>
      </c>
      <c r="R136" s="72">
        <f>G136/(C136-E136-F136)</f>
        <v>1.3573908546945408E-2</v>
      </c>
      <c r="S136" s="62">
        <f>E136/C136</f>
        <v>1.8419423756564104E-2</v>
      </c>
      <c r="U136" s="146">
        <f>(C136-C129)/C129</f>
        <v>0.28723253871361565</v>
      </c>
      <c r="W136" s="213">
        <f>AVERAGE(B130:B136)</f>
        <v>3193</v>
      </c>
      <c r="X136" s="36">
        <f>AVERAGE(D130:D136)</f>
        <v>48.285714285714285</v>
      </c>
    </row>
    <row r="137" spans="1:24" s="36" customFormat="1" x14ac:dyDescent="0.25">
      <c r="A137" s="73">
        <v>44025</v>
      </c>
      <c r="B137" s="4">
        <v>3099</v>
      </c>
      <c r="C137" s="4">
        <v>103265</v>
      </c>
      <c r="D137" s="4">
        <v>58</v>
      </c>
      <c r="E137" s="4">
        <v>1903</v>
      </c>
      <c r="F137" s="194">
        <v>45467</v>
      </c>
      <c r="G137" s="4">
        <v>752</v>
      </c>
      <c r="H137" s="4">
        <v>9377</v>
      </c>
      <c r="I137" s="4">
        <v>483799</v>
      </c>
      <c r="J137" s="7">
        <v>894</v>
      </c>
      <c r="K137" s="7">
        <f>L137-J137</f>
        <v>297192</v>
      </c>
      <c r="L137" s="4">
        <v>298086</v>
      </c>
      <c r="M137" s="4">
        <v>1082</v>
      </c>
      <c r="N137" s="4">
        <v>34293</v>
      </c>
      <c r="O137" s="4">
        <v>50637</v>
      </c>
      <c r="P137" s="4">
        <f>103265-O137-N137-M137</f>
        <v>17253</v>
      </c>
      <c r="Q137" s="29">
        <f>F137-F136</f>
        <v>1294</v>
      </c>
      <c r="R137" s="72">
        <f>G137/(C137-E137-F137)</f>
        <v>1.3453797298506128E-2</v>
      </c>
      <c r="S137" s="62">
        <f>E137/C137</f>
        <v>1.8428315498958989E-2</v>
      </c>
      <c r="T137" s="95"/>
      <c r="U137" s="146">
        <f>(C137-C130)/C130</f>
        <v>0.28364016060263281</v>
      </c>
      <c r="V137" s="95"/>
      <c r="W137" s="213">
        <f>AVERAGE(B131:B137)</f>
        <v>3259.7142857142858</v>
      </c>
      <c r="X137" s="36">
        <f>AVERAGE(D131:D137)</f>
        <v>45.857142857142854</v>
      </c>
    </row>
    <row r="138" spans="1:24" x14ac:dyDescent="0.25">
      <c r="A138" s="2">
        <v>44026</v>
      </c>
      <c r="B138" s="4">
        <v>3645</v>
      </c>
      <c r="C138" s="12">
        <v>106910</v>
      </c>
      <c r="D138" s="4">
        <v>65</v>
      </c>
      <c r="E138" s="4">
        <v>1968</v>
      </c>
      <c r="F138" s="194">
        <v>47298</v>
      </c>
      <c r="G138" s="4">
        <v>772</v>
      </c>
      <c r="H138" s="4">
        <v>11266</v>
      </c>
      <c r="I138" s="4">
        <v>495065</v>
      </c>
      <c r="J138" s="7">
        <v>912</v>
      </c>
      <c r="K138" s="7">
        <f>L138-J138</f>
        <v>303075</v>
      </c>
      <c r="L138" s="4">
        <v>303987</v>
      </c>
      <c r="M138" s="4">
        <v>1083</v>
      </c>
      <c r="N138" s="4">
        <v>35260</v>
      </c>
      <c r="O138" s="4">
        <v>53247</v>
      </c>
      <c r="P138" s="4">
        <f>106910-O138-N138-M138</f>
        <v>17320</v>
      </c>
      <c r="Q138" s="29">
        <f>F138-F137</f>
        <v>1831</v>
      </c>
      <c r="R138" s="72">
        <f>G138/(C138-E138-F138)</f>
        <v>1.3392547359655818E-2</v>
      </c>
      <c r="S138" s="62">
        <f>E138/C138</f>
        <v>1.840800673463661E-2</v>
      </c>
      <c r="U138" s="146">
        <f>(C138-C131)/C131</f>
        <v>0.28149497758492559</v>
      </c>
      <c r="W138" s="213">
        <f>AVERAGE(B132:B138)</f>
        <v>3354.8571428571427</v>
      </c>
      <c r="X138" s="36">
        <f>AVERAGE(D132:D138)</f>
        <v>46.285714285714285</v>
      </c>
    </row>
    <row r="139" spans="1:24" x14ac:dyDescent="0.25">
      <c r="A139" s="2">
        <v>44027</v>
      </c>
      <c r="B139" s="12">
        <v>4250</v>
      </c>
      <c r="C139" s="4">
        <f>C138+B139</f>
        <v>111160</v>
      </c>
      <c r="D139" s="4">
        <v>82</v>
      </c>
      <c r="E139" s="4">
        <v>2050</v>
      </c>
      <c r="F139" s="194">
        <v>49120</v>
      </c>
      <c r="G139" s="4">
        <v>783</v>
      </c>
      <c r="H139" s="19">
        <v>13163</v>
      </c>
      <c r="I139" s="4">
        <v>508228</v>
      </c>
      <c r="J139" s="7">
        <v>932</v>
      </c>
      <c r="K139" s="7">
        <f>L139-J139</f>
        <v>308815</v>
      </c>
      <c r="L139" s="4">
        <v>309747</v>
      </c>
      <c r="M139" s="4">
        <v>1085</v>
      </c>
      <c r="N139" s="4">
        <v>36398</v>
      </c>
      <c r="O139" s="4">
        <v>55836</v>
      </c>
      <c r="P139" s="4">
        <v>17841</v>
      </c>
      <c r="Q139" s="29">
        <f>F139-F138</f>
        <v>1822</v>
      </c>
      <c r="R139" s="72">
        <f>G139/(C139-E139-F139)</f>
        <v>1.3052175362560427E-2</v>
      </c>
      <c r="S139" s="62">
        <f>E139/C139</f>
        <v>1.8441885570349047E-2</v>
      </c>
      <c r="U139" s="146">
        <f>(C139-C132)/C132</f>
        <v>0.27726071469608182</v>
      </c>
      <c r="W139" s="213">
        <f>AVERAGE(B133:B139)</f>
        <v>3447.1428571428573</v>
      </c>
      <c r="X139" s="36">
        <f>AVERAGE(D133:D139)</f>
        <v>50.714285714285715</v>
      </c>
    </row>
    <row r="140" spans="1:24" x14ac:dyDescent="0.25">
      <c r="A140" s="2">
        <v>44028</v>
      </c>
      <c r="B140" s="7">
        <v>3624</v>
      </c>
      <c r="C140" s="37">
        <v>114783</v>
      </c>
      <c r="D140" s="7">
        <v>62</v>
      </c>
      <c r="E140" s="7">
        <v>2112</v>
      </c>
      <c r="F140" s="194">
        <v>49780</v>
      </c>
      <c r="G140" s="7">
        <v>793</v>
      </c>
      <c r="H140" s="40">
        <v>11053</v>
      </c>
      <c r="I140" s="7">
        <v>519281</v>
      </c>
      <c r="J140" s="7">
        <f>L140-K140</f>
        <v>949.03800000000047</v>
      </c>
      <c r="K140" s="7">
        <f>L140*0.997</f>
        <v>315396.962</v>
      </c>
      <c r="L140" s="7">
        <v>316346</v>
      </c>
      <c r="M140" s="7">
        <v>1086</v>
      </c>
      <c r="N140" s="7">
        <v>37225</v>
      </c>
      <c r="O140" s="7">
        <v>57961</v>
      </c>
      <c r="P140" s="7">
        <f>114783-O140-N140-M140</f>
        <v>18511</v>
      </c>
      <c r="Q140" s="29">
        <f>F140-F139</f>
        <v>660</v>
      </c>
      <c r="R140" s="72">
        <f>G140/(C140-E140-F140)</f>
        <v>1.2609117361784675E-2</v>
      </c>
      <c r="S140" s="62">
        <f>E140/C140</f>
        <v>1.8399937272941116E-2</v>
      </c>
      <c r="T140" s="36"/>
      <c r="U140" s="146">
        <f>(C140-C133)/C133</f>
        <v>0.26562138202507363</v>
      </c>
      <c r="V140" s="36"/>
      <c r="W140" s="213">
        <f>AVERAGE(B134:B140)</f>
        <v>3441.5714285714284</v>
      </c>
      <c r="X140" s="36">
        <f>AVERAGE(D134:D140)</f>
        <v>55.857142857142854</v>
      </c>
    </row>
    <row r="141" spans="1:24" x14ac:dyDescent="0.25">
      <c r="A141" s="2">
        <v>44029</v>
      </c>
      <c r="B141" s="38">
        <v>4518</v>
      </c>
      <c r="C141" s="7">
        <f>C140+B141</f>
        <v>119301</v>
      </c>
      <c r="D141" s="7">
        <v>66</v>
      </c>
      <c r="E141" s="7">
        <v>2178</v>
      </c>
      <c r="F141" s="194">
        <v>49780</v>
      </c>
      <c r="G141" s="7">
        <v>823</v>
      </c>
      <c r="H141" s="7">
        <v>12472</v>
      </c>
      <c r="I141" s="7">
        <v>531753</v>
      </c>
      <c r="J141" s="7">
        <v>967</v>
      </c>
      <c r="K141" s="7">
        <v>321616</v>
      </c>
      <c r="L141" s="7">
        <v>322583</v>
      </c>
      <c r="M141" s="7">
        <v>1093</v>
      </c>
      <c r="N141" s="7">
        <v>38304</v>
      </c>
      <c r="O141" s="7">
        <v>60041</v>
      </c>
      <c r="P141" s="4">
        <f>119301-O141-N141-M141</f>
        <v>19863</v>
      </c>
      <c r="Q141" s="29">
        <f>F141-F140</f>
        <v>0</v>
      </c>
      <c r="R141" s="72">
        <f>G141/(C141-E141-F141)</f>
        <v>1.2221017774675913E-2</v>
      </c>
      <c r="S141" s="62">
        <f>E141/C141</f>
        <v>1.825634319913496E-2</v>
      </c>
      <c r="U141" s="146">
        <f>(C141-C134)/C134</f>
        <v>0.2683499893684882</v>
      </c>
      <c r="W141" s="213">
        <f>AVERAGE(B135:B141)</f>
        <v>3606</v>
      </c>
      <c r="X141" s="36">
        <f>AVERAGE(D135:D141)</f>
        <v>57.571428571428569</v>
      </c>
    </row>
    <row r="142" spans="1:24" x14ac:dyDescent="0.25">
      <c r="A142" s="2">
        <v>44030</v>
      </c>
      <c r="B142" s="7">
        <f>3223+82</f>
        <v>3305</v>
      </c>
      <c r="C142" s="7">
        <f>C141+B142</f>
        <v>122606</v>
      </c>
      <c r="D142" s="7">
        <v>42</v>
      </c>
      <c r="E142" s="7">
        <v>2220</v>
      </c>
      <c r="F142" s="194">
        <v>52607</v>
      </c>
      <c r="G142" s="7">
        <v>824</v>
      </c>
      <c r="H142" s="7">
        <v>9485</v>
      </c>
      <c r="I142" s="7">
        <v>541238</v>
      </c>
      <c r="J142" s="7">
        <v>980</v>
      </c>
      <c r="K142" s="7">
        <f>L142-J142</f>
        <v>325386</v>
      </c>
      <c r="L142" s="7">
        <v>326366</v>
      </c>
      <c r="M142" s="7">
        <v>1093</v>
      </c>
      <c r="N142" s="7">
        <v>39113</v>
      </c>
      <c r="O142" s="7">
        <v>62057</v>
      </c>
      <c r="P142" s="7">
        <v>20261</v>
      </c>
      <c r="Q142" s="29">
        <f>F142-F141</f>
        <v>2827</v>
      </c>
      <c r="R142" s="72">
        <f>G142/(C142-E142-F142)</f>
        <v>1.2157157821744199E-2</v>
      </c>
      <c r="S142" s="62">
        <f>E142/C142</f>
        <v>1.8106781071073195E-2</v>
      </c>
      <c r="U142" s="146">
        <f>(C142-C135)/C135</f>
        <v>0.25738136992482746</v>
      </c>
      <c r="W142" s="213">
        <f>AVERAGE(B136:B142)</f>
        <v>3585.4285714285716</v>
      </c>
      <c r="X142" s="36">
        <f>AVERAGE(D136:D142)</f>
        <v>58.428571428571431</v>
      </c>
    </row>
    <row r="143" spans="1:24" x14ac:dyDescent="0.25">
      <c r="A143" s="2">
        <v>44031</v>
      </c>
      <c r="B143" s="4">
        <v>4231</v>
      </c>
      <c r="C143" s="7">
        <f>C142+B143</f>
        <v>126837</v>
      </c>
      <c r="D143" s="4">
        <v>40</v>
      </c>
      <c r="E143" s="7">
        <v>2260</v>
      </c>
      <c r="F143" s="194">
        <v>55913</v>
      </c>
      <c r="G143" s="4">
        <v>842</v>
      </c>
      <c r="H143" s="4">
        <v>11068</v>
      </c>
      <c r="I143" s="4">
        <v>552306</v>
      </c>
      <c r="J143" s="7">
        <v>997</v>
      </c>
      <c r="K143" s="7">
        <v>331436</v>
      </c>
      <c r="L143" s="4">
        <v>332433</v>
      </c>
      <c r="M143" s="4">
        <v>1095</v>
      </c>
      <c r="N143" s="4">
        <v>40138</v>
      </c>
      <c r="O143" s="4">
        <v>63648</v>
      </c>
      <c r="P143" s="4">
        <f>126755-O143-N143-M143</f>
        <v>21874</v>
      </c>
      <c r="Q143" s="29">
        <f>F143-F142</f>
        <v>3306</v>
      </c>
      <c r="R143" s="72">
        <f>G143/(C143-E143-F143)</f>
        <v>1.2262612140277292E-2</v>
      </c>
      <c r="S143" s="62">
        <f>E143/C143</f>
        <v>1.7818144547726608E-2</v>
      </c>
      <c r="U143" s="146">
        <f>(C143-C136)/C136</f>
        <v>0.26626799512808735</v>
      </c>
      <c r="W143" s="213">
        <f>AVERAGE(B137:B143)</f>
        <v>3810.2857142857142</v>
      </c>
      <c r="X143" s="36">
        <f>AVERAGE(D137:D143)</f>
        <v>59.285714285714285</v>
      </c>
    </row>
    <row r="144" spans="1:24" x14ac:dyDescent="0.25">
      <c r="A144" s="73">
        <v>44032</v>
      </c>
      <c r="B144" s="153">
        <v>3937</v>
      </c>
      <c r="C144" s="7">
        <v>130774</v>
      </c>
      <c r="D144" s="4">
        <v>113</v>
      </c>
      <c r="E144" s="7">
        <f>E143+D144</f>
        <v>2373</v>
      </c>
      <c r="F144" s="194">
        <v>58598</v>
      </c>
      <c r="G144" s="4">
        <v>853</v>
      </c>
      <c r="H144" s="4">
        <v>11207</v>
      </c>
      <c r="I144" s="4">
        <v>563513</v>
      </c>
      <c r="J144" s="7">
        <v>1014</v>
      </c>
      <c r="K144" s="7">
        <v>337237</v>
      </c>
      <c r="L144" s="4">
        <v>338251</v>
      </c>
      <c r="M144" s="4">
        <v>1095</v>
      </c>
      <c r="N144" s="4">
        <v>41086</v>
      </c>
      <c r="O144" s="4">
        <v>66293</v>
      </c>
      <c r="P144" s="4">
        <f>130744-O144-M144-N144</f>
        <v>22270</v>
      </c>
      <c r="Q144" s="29">
        <f>F144-F143</f>
        <v>2685</v>
      </c>
      <c r="R144" s="72">
        <f>G144/(C144-E144-F144)</f>
        <v>1.2220105153073649E-2</v>
      </c>
      <c r="S144" s="62">
        <f>E144/C144</f>
        <v>1.8145808799914356E-2</v>
      </c>
      <c r="U144" s="146">
        <f>(C144-C137)/C137</f>
        <v>0.26639229167675399</v>
      </c>
      <c r="W144" s="213">
        <f>AVERAGE(B138:B144)</f>
        <v>3930</v>
      </c>
      <c r="X144" s="36">
        <f>AVERAGE(D138:D144)</f>
        <v>67.142857142857139</v>
      </c>
    </row>
    <row r="145" spans="1:24" x14ac:dyDescent="0.25">
      <c r="A145" s="2">
        <v>44033</v>
      </c>
      <c r="B145" s="16">
        <v>5344</v>
      </c>
      <c r="C145" s="7">
        <f>C144+B145</f>
        <v>136118</v>
      </c>
      <c r="D145" s="4">
        <v>117</v>
      </c>
      <c r="E145" s="7">
        <f>E144+D145</f>
        <v>2490</v>
      </c>
      <c r="F145" s="194">
        <v>60531</v>
      </c>
      <c r="G145" s="4">
        <v>890</v>
      </c>
      <c r="H145" s="239">
        <v>14689</v>
      </c>
      <c r="I145" s="4">
        <v>578202</v>
      </c>
      <c r="J145" s="7">
        <v>1037</v>
      </c>
      <c r="K145" s="7">
        <v>344681</v>
      </c>
      <c r="L145" s="4">
        <v>345718</v>
      </c>
      <c r="M145" s="4">
        <v>1096</v>
      </c>
      <c r="N145" s="4">
        <v>42253</v>
      </c>
      <c r="O145" s="4">
        <v>69442</v>
      </c>
      <c r="P145" s="4">
        <v>23327</v>
      </c>
      <c r="Q145" s="29">
        <f>F145-F144</f>
        <v>1933</v>
      </c>
      <c r="R145" s="72">
        <f>G145/(C145-E145-F145)</f>
        <v>1.2175602281899393E-2</v>
      </c>
      <c r="S145" s="62">
        <f>E145/C145</f>
        <v>1.8292951703668875E-2</v>
      </c>
      <c r="U145" s="146">
        <f>(C145-C138)/C138</f>
        <v>0.27320175848844824</v>
      </c>
      <c r="W145" s="213">
        <f>AVERAGE(B139:B145)</f>
        <v>4172.7142857142853</v>
      </c>
      <c r="X145" s="36">
        <f>AVERAGE(D139:D145)</f>
        <v>74.571428571428569</v>
      </c>
    </row>
    <row r="146" spans="1:24" x14ac:dyDescent="0.25">
      <c r="A146" s="2">
        <v>44034</v>
      </c>
      <c r="B146" s="16">
        <v>5782</v>
      </c>
      <c r="C146" s="7">
        <f>C145+B146</f>
        <v>141900</v>
      </c>
      <c r="D146" s="4">
        <v>98</v>
      </c>
      <c r="E146" s="7">
        <f>E145+D146</f>
        <v>2588</v>
      </c>
      <c r="F146" s="194">
        <v>62815</v>
      </c>
      <c r="G146" s="4">
        <v>902</v>
      </c>
      <c r="H146" s="41">
        <v>14842</v>
      </c>
      <c r="I146" s="4">
        <f>I145+H146</f>
        <v>593044</v>
      </c>
      <c r="J146" s="7">
        <v>1058</v>
      </c>
      <c r="K146" s="7">
        <v>351858</v>
      </c>
      <c r="L146" s="4">
        <v>352916</v>
      </c>
      <c r="M146" s="4">
        <v>1096</v>
      </c>
      <c r="N146" s="4">
        <v>43748</v>
      </c>
      <c r="O146" s="4">
        <v>72527</v>
      </c>
      <c r="P146" s="4">
        <f>141900-O146-N146-M146</f>
        <v>24529</v>
      </c>
      <c r="Q146" s="29">
        <f>F146-F145</f>
        <v>2284</v>
      </c>
      <c r="R146" s="72">
        <f>G146/(C146-E146-F146)</f>
        <v>1.1791312077597814E-2</v>
      </c>
      <c r="S146" s="62">
        <f>E146/C146</f>
        <v>1.8238195912614517E-2</v>
      </c>
      <c r="U146" s="146">
        <f>(C146-C139)/C139</f>
        <v>0.27653832313781934</v>
      </c>
      <c r="W146" s="213">
        <f>AVERAGE(B140:B146)</f>
        <v>4391.5714285714284</v>
      </c>
      <c r="X146" s="36">
        <f>AVERAGE(D140:D146)</f>
        <v>76.857142857142861</v>
      </c>
    </row>
    <row r="147" spans="1:24" x14ac:dyDescent="0.25">
      <c r="A147" s="2">
        <v>44035</v>
      </c>
      <c r="B147" s="4">
        <v>6127</v>
      </c>
      <c r="C147" s="7">
        <f>C146+B147</f>
        <v>148027</v>
      </c>
      <c r="D147" s="4">
        <f>29+85</f>
        <v>114</v>
      </c>
      <c r="E147" s="7">
        <f>E146+D147</f>
        <v>2702</v>
      </c>
      <c r="F147" s="194">
        <v>65447</v>
      </c>
      <c r="G147" s="4">
        <v>913</v>
      </c>
      <c r="H147" s="12">
        <v>16218</v>
      </c>
      <c r="I147" s="19">
        <v>609262</v>
      </c>
      <c r="J147" s="7">
        <v>1082</v>
      </c>
      <c r="K147" s="7">
        <v>359756</v>
      </c>
      <c r="L147" s="4">
        <v>360838</v>
      </c>
      <c r="M147" s="4">
        <v>1101</v>
      </c>
      <c r="N147" s="4">
        <v>45026</v>
      </c>
      <c r="O147" s="4">
        <v>76114</v>
      </c>
      <c r="P147" s="4">
        <f>148027-O147-N147-M147</f>
        <v>25786</v>
      </c>
      <c r="Q147" s="29">
        <f>F147-F146</f>
        <v>2632</v>
      </c>
      <c r="R147" s="72">
        <f>G147/(C147-E147-F147)</f>
        <v>1.1429930644232455E-2</v>
      </c>
      <c r="S147" s="62">
        <f>E147/C147</f>
        <v>1.8253426739716402E-2</v>
      </c>
      <c r="U147" s="146">
        <f>(C147-C140)/C140</f>
        <v>0.2896247702185864</v>
      </c>
      <c r="W147" s="213">
        <f>AVERAGE(B141:B147)</f>
        <v>4749.1428571428569</v>
      </c>
      <c r="X147" s="36">
        <f>AVERAGE(D141:D147)</f>
        <v>84.285714285714292</v>
      </c>
    </row>
    <row r="148" spans="1:24" x14ac:dyDescent="0.25">
      <c r="A148" s="2">
        <v>44036</v>
      </c>
      <c r="B148" s="4">
        <v>5493</v>
      </c>
      <c r="C148" s="7">
        <f>C147+B148</f>
        <v>153520</v>
      </c>
      <c r="D148" s="4">
        <f>20+85</f>
        <v>105</v>
      </c>
      <c r="E148" s="7">
        <f>E147+D148</f>
        <v>2807</v>
      </c>
      <c r="F148" s="194">
        <v>68022</v>
      </c>
      <c r="G148" s="4">
        <v>955</v>
      </c>
      <c r="H148" s="4">
        <v>14631</v>
      </c>
      <c r="I148" s="19">
        <f>I147+H148</f>
        <v>623893</v>
      </c>
      <c r="J148" s="7">
        <v>736</v>
      </c>
      <c r="K148" s="7">
        <v>367243</v>
      </c>
      <c r="L148" s="4">
        <v>367979</v>
      </c>
      <c r="M148" s="4">
        <v>1105</v>
      </c>
      <c r="N148" s="4">
        <v>46528</v>
      </c>
      <c r="O148" s="4">
        <v>79424</v>
      </c>
      <c r="P148" s="4">
        <f>153520-O148-N148-M148</f>
        <v>26463</v>
      </c>
      <c r="Q148" s="29">
        <f>F148-F147</f>
        <v>2575</v>
      </c>
      <c r="R148" s="72">
        <f>G148/(C148-E148-F148)</f>
        <v>1.1549019844964991E-2</v>
      </c>
      <c r="S148" s="62">
        <f>E148/C148</f>
        <v>1.8284262636789995E-2</v>
      </c>
      <c r="U148" s="146">
        <f>(C148-C141)/C141</f>
        <v>0.28682911291606944</v>
      </c>
      <c r="W148" s="213">
        <f>AVERAGE(B142:B148)</f>
        <v>4888.4285714285716</v>
      </c>
      <c r="X148" s="36">
        <f>AVERAGE(D142:D148)</f>
        <v>89.857142857142861</v>
      </c>
    </row>
    <row r="149" spans="1:24" x14ac:dyDescent="0.25">
      <c r="A149" s="2">
        <v>44037</v>
      </c>
      <c r="B149" s="4">
        <v>4814</v>
      </c>
      <c r="C149" s="7">
        <f>C148+B149</f>
        <v>158334</v>
      </c>
      <c r="D149" s="4">
        <v>86</v>
      </c>
      <c r="E149" s="7">
        <f>E148+D149</f>
        <v>2893</v>
      </c>
      <c r="F149" s="194">
        <v>70518</v>
      </c>
      <c r="G149" s="4">
        <v>980</v>
      </c>
      <c r="H149" s="4">
        <v>12951</v>
      </c>
      <c r="I149" s="19">
        <v>636844</v>
      </c>
      <c r="J149" s="7">
        <f>L149-K149</f>
        <v>748.94599999999627</v>
      </c>
      <c r="K149" s="7">
        <f>L149*0.998</f>
        <v>373724.054</v>
      </c>
      <c r="L149" s="4">
        <v>374473</v>
      </c>
      <c r="M149" s="4">
        <v>1107</v>
      </c>
      <c r="N149" s="4">
        <v>47659</v>
      </c>
      <c r="O149" s="4">
        <v>81828</v>
      </c>
      <c r="P149" s="4">
        <f>158334-O149-N149-M149</f>
        <v>27740</v>
      </c>
      <c r="Q149" s="29">
        <f>F149-F148</f>
        <v>2496</v>
      </c>
      <c r="R149" s="72">
        <f>G149/(C149-E149-F149)</f>
        <v>1.1539865525240512E-2</v>
      </c>
      <c r="S149" s="62">
        <f>E149/C149</f>
        <v>1.8271502014728359E-2</v>
      </c>
      <c r="U149" s="146">
        <f>(C149-C142)/C142</f>
        <v>0.29140498833662298</v>
      </c>
      <c r="W149" s="213">
        <f>AVERAGE(B143:B149)</f>
        <v>5104</v>
      </c>
      <c r="X149" s="36">
        <f>AVERAGE(D143:D149)</f>
        <v>96.142857142857139</v>
      </c>
    </row>
    <row r="150" spans="1:24" x14ac:dyDescent="0.25">
      <c r="A150" s="2">
        <v>44038</v>
      </c>
      <c r="B150" s="4">
        <v>4192</v>
      </c>
      <c r="C150" s="7">
        <f>C149+B150</f>
        <v>162526</v>
      </c>
      <c r="D150" s="4">
        <v>45</v>
      </c>
      <c r="E150" s="7">
        <f>E149+D150</f>
        <v>2938</v>
      </c>
      <c r="F150" s="194">
        <v>72575</v>
      </c>
      <c r="G150" s="4">
        <v>993</v>
      </c>
      <c r="H150" s="4">
        <v>10870</v>
      </c>
      <c r="I150" s="19">
        <v>647714</v>
      </c>
      <c r="J150" s="7">
        <f>L150-K150</f>
        <v>759.3979999999865</v>
      </c>
      <c r="K150" s="7">
        <f>0.998*L150</f>
        <v>378939.60200000001</v>
      </c>
      <c r="L150" s="4">
        <v>379699</v>
      </c>
      <c r="M150" s="4">
        <v>1109</v>
      </c>
      <c r="N150" s="4">
        <v>46698</v>
      </c>
      <c r="O150" s="4">
        <v>84358</v>
      </c>
      <c r="P150" s="4">
        <f>162526-O150-N150-M150</f>
        <v>30361</v>
      </c>
      <c r="Q150" s="29">
        <f>F150-F149</f>
        <v>2057</v>
      </c>
      <c r="R150" s="72">
        <f>G150/(C150-E150-F150)</f>
        <v>1.1412087848942112E-2</v>
      </c>
      <c r="S150" s="62">
        <f>E150/C150</f>
        <v>1.8077107662773956E-2</v>
      </c>
      <c r="U150" s="146">
        <f>(C150-C143)/C143</f>
        <v>0.28137688529372346</v>
      </c>
      <c r="W150" s="213">
        <f>AVERAGE(B144:B150)</f>
        <v>5098.4285714285716</v>
      </c>
      <c r="X150" s="36">
        <f>AVERAGE(D144:D150)</f>
        <v>96.857142857142861</v>
      </c>
    </row>
    <row r="151" spans="1:24" x14ac:dyDescent="0.25">
      <c r="A151" s="73">
        <v>44039</v>
      </c>
      <c r="B151" s="4">
        <v>4890</v>
      </c>
      <c r="C151" s="7">
        <f>C150+B151</f>
        <v>167416</v>
      </c>
      <c r="D151" s="7">
        <f>17+104</f>
        <v>121</v>
      </c>
      <c r="E151" s="7">
        <f>E150+D151</f>
        <v>3059</v>
      </c>
      <c r="F151" s="194">
        <v>75083</v>
      </c>
      <c r="G151" s="4">
        <v>1002</v>
      </c>
      <c r="H151" s="4">
        <v>12398</v>
      </c>
      <c r="I151" s="4">
        <f>I150+H151</f>
        <v>660112</v>
      </c>
      <c r="J151" s="7">
        <v>771</v>
      </c>
      <c r="K151" s="7">
        <f>L151-J151</f>
        <v>384872</v>
      </c>
      <c r="L151" s="4">
        <v>385643</v>
      </c>
      <c r="M151" s="4">
        <v>1112</v>
      </c>
      <c r="N151" s="4">
        <v>49648</v>
      </c>
      <c r="O151" s="4">
        <v>88238</v>
      </c>
      <c r="P151" s="4">
        <f>167416-O151-N151-M151</f>
        <v>28418</v>
      </c>
      <c r="Q151" s="29">
        <f>F151-F150</f>
        <v>2508</v>
      </c>
      <c r="R151" s="72">
        <f>G151/(C151-E151-F151)</f>
        <v>1.1223872572081458E-2</v>
      </c>
      <c r="S151" s="62">
        <f>E151/C151</f>
        <v>1.8271849763463469E-2</v>
      </c>
      <c r="U151" s="146">
        <f>(C151-C144)/C144</f>
        <v>0.28019331059690766</v>
      </c>
      <c r="W151" s="213">
        <f>AVERAGE(B145:B151)</f>
        <v>5234.5714285714284</v>
      </c>
      <c r="X151" s="36">
        <f>AVERAGE(D145:D151)</f>
        <v>98</v>
      </c>
    </row>
    <row r="152" spans="1:24" x14ac:dyDescent="0.25">
      <c r="A152" s="2">
        <v>44040</v>
      </c>
      <c r="B152" s="4">
        <v>5939</v>
      </c>
      <c r="C152" s="7">
        <f>C151+B152</f>
        <v>173355</v>
      </c>
      <c r="D152" s="7">
        <f>23+97</f>
        <v>120</v>
      </c>
      <c r="E152" s="7">
        <v>3178</v>
      </c>
      <c r="F152" s="194">
        <v>77855</v>
      </c>
      <c r="G152" s="4">
        <v>1024</v>
      </c>
      <c r="H152" s="4">
        <v>14899</v>
      </c>
      <c r="I152" s="4">
        <v>675011</v>
      </c>
      <c r="J152" s="7">
        <f>L152-K152</f>
        <v>785.48800000001211</v>
      </c>
      <c r="K152" s="7">
        <f>0.998*L152</f>
        <v>391958.51199999999</v>
      </c>
      <c r="L152" s="4">
        <v>392744</v>
      </c>
      <c r="M152" s="4">
        <v>1119</v>
      </c>
      <c r="N152" s="4">
        <v>51090</v>
      </c>
      <c r="O152" s="4">
        <v>92345</v>
      </c>
      <c r="P152" s="4">
        <f>173355-O152-N152-M152</f>
        <v>28801</v>
      </c>
      <c r="Q152" s="29">
        <f>F152-F151</f>
        <v>2772</v>
      </c>
      <c r="R152" s="72">
        <f>G152/(C152-E152-F152)</f>
        <v>1.1091614133142696E-2</v>
      </c>
      <c r="S152" s="62">
        <f>E152/C152</f>
        <v>1.8332323844134867E-2</v>
      </c>
      <c r="U152" s="146">
        <f>(C152-C145)/C145</f>
        <v>0.27356411348976623</v>
      </c>
      <c r="W152" s="213">
        <f>AVERAGE(B146:B152)</f>
        <v>5319.5714285714284</v>
      </c>
      <c r="X152" s="36">
        <f>AVERAGE(D146:D152)</f>
        <v>98.428571428571431</v>
      </c>
    </row>
    <row r="153" spans="1:24" x14ac:dyDescent="0.25">
      <c r="A153" s="2">
        <v>44041</v>
      </c>
      <c r="B153" s="7">
        <v>5641</v>
      </c>
      <c r="C153" s="7">
        <f>C152+B153</f>
        <v>178996</v>
      </c>
      <c r="D153" s="4">
        <v>110</v>
      </c>
      <c r="E153" s="7">
        <f>E152+D153</f>
        <v>3288</v>
      </c>
      <c r="F153" s="194">
        <v>80596</v>
      </c>
      <c r="G153" s="4">
        <v>1057</v>
      </c>
      <c r="H153" s="4">
        <v>15812</v>
      </c>
      <c r="I153" s="4">
        <v>690823</v>
      </c>
      <c r="J153" s="7">
        <f>L153-K153</f>
        <v>801.66200000001118</v>
      </c>
      <c r="K153" s="7">
        <f>0.998*L153</f>
        <v>400029.33799999999</v>
      </c>
      <c r="L153" s="4">
        <v>400831</v>
      </c>
      <c r="M153" s="4">
        <v>1115</v>
      </c>
      <c r="N153" s="4">
        <v>52375</v>
      </c>
      <c r="O153" s="4">
        <v>96710</v>
      </c>
      <c r="P153" s="4">
        <f>178996-O153-N153-M153</f>
        <v>28796</v>
      </c>
      <c r="Q153" s="29">
        <f>F153-F152</f>
        <v>2741</v>
      </c>
      <c r="R153" s="72">
        <f>G153/(C153-E153-F153)</f>
        <v>1.1113213895197241E-2</v>
      </c>
      <c r="S153" s="62">
        <f>E153/C153</f>
        <v>1.8369125567051777E-2</v>
      </c>
      <c r="U153" s="146">
        <f>(C153-C146)/C146</f>
        <v>0.26142353770260746</v>
      </c>
      <c r="W153" s="213">
        <f>AVERAGE(B147:B153)</f>
        <v>5299.4285714285716</v>
      </c>
      <c r="X153" s="36">
        <f>AVERAGE(D147:D153)</f>
        <v>100.14285714285714</v>
      </c>
    </row>
    <row r="154" spans="1:24" x14ac:dyDescent="0.25">
      <c r="A154" s="73">
        <v>44042</v>
      </c>
      <c r="B154" s="4">
        <v>6377</v>
      </c>
      <c r="C154" s="7">
        <f>C153+B154</f>
        <v>185373</v>
      </c>
      <c r="D154" s="4">
        <f>23+131</f>
        <v>154</v>
      </c>
      <c r="E154" s="7">
        <f>E153+D154</f>
        <v>3442</v>
      </c>
      <c r="F154" s="194">
        <v>83780</v>
      </c>
      <c r="G154" s="4">
        <v>1076</v>
      </c>
      <c r="H154" s="4">
        <v>16685</v>
      </c>
      <c r="I154" s="4">
        <v>707508</v>
      </c>
      <c r="J154" s="7">
        <f>L154-K154</f>
        <v>818.0800000000163</v>
      </c>
      <c r="K154" s="7">
        <f>0.998*L154</f>
        <v>408221.92</v>
      </c>
      <c r="L154" s="4">
        <v>409040</v>
      </c>
      <c r="M154" s="4">
        <v>1117</v>
      </c>
      <c r="N154" s="4">
        <v>53660</v>
      </c>
      <c r="O154" s="4">
        <v>100811</v>
      </c>
      <c r="P154" s="4">
        <f>185373-O154-N154-M154</f>
        <v>29785</v>
      </c>
      <c r="Q154" s="29">
        <f>F154-F153</f>
        <v>3184</v>
      </c>
      <c r="R154" s="72">
        <f>G154/(C154-E154-F154)</f>
        <v>1.0962700329084777E-2</v>
      </c>
      <c r="S154" s="62">
        <f>E154/C154</f>
        <v>1.8567968366482713E-2</v>
      </c>
      <c r="U154" s="146">
        <f>(C154-C147)/C147</f>
        <v>0.25229181162895958</v>
      </c>
      <c r="W154" s="221">
        <f>AVERAGE(B148:B154)</f>
        <v>5335.1428571428569</v>
      </c>
      <c r="X154" s="36">
        <f>AVERAGE(D148:D154)</f>
        <v>105.85714285714286</v>
      </c>
    </row>
    <row r="155" spans="1:24" x14ac:dyDescent="0.25">
      <c r="A155" s="73">
        <v>44043</v>
      </c>
      <c r="B155" s="4">
        <v>5929</v>
      </c>
      <c r="C155" s="7">
        <f>C154+B155</f>
        <v>191302</v>
      </c>
      <c r="D155" s="4">
        <f>25+77</f>
        <v>102</v>
      </c>
      <c r="E155" s="7">
        <f>E154+D155</f>
        <v>3544</v>
      </c>
      <c r="F155" s="194">
        <v>86499</v>
      </c>
      <c r="G155" s="4">
        <v>1104</v>
      </c>
      <c r="H155" s="4">
        <v>15442</v>
      </c>
      <c r="I155" s="4">
        <f>I154+H155</f>
        <v>722950</v>
      </c>
      <c r="J155" s="7">
        <f>L155-K155</f>
        <v>833.97600000002421</v>
      </c>
      <c r="K155" s="7">
        <f>0.998*L155</f>
        <v>416154.02399999998</v>
      </c>
      <c r="L155" s="4">
        <v>416988</v>
      </c>
      <c r="M155" s="4">
        <v>1122</v>
      </c>
      <c r="N155" s="4">
        <v>54915</v>
      </c>
      <c r="O155" s="4">
        <v>104695</v>
      </c>
      <c r="P155" s="4">
        <f>191302-O155-N155-M155</f>
        <v>30570</v>
      </c>
      <c r="Q155" s="29">
        <f>F155-F154</f>
        <v>2719</v>
      </c>
      <c r="R155" s="72">
        <f>G155/(C155-E155-F155)</f>
        <v>1.0902734571741771E-2</v>
      </c>
      <c r="S155" s="62">
        <f>E155/C155</f>
        <v>1.852568190609612E-2</v>
      </c>
      <c r="U155" s="146">
        <f>(C155-C148)/C148</f>
        <v>0.24610474205315269</v>
      </c>
      <c r="W155" s="221">
        <f>AVERAGE(B149:B155)</f>
        <v>5397.4285714285716</v>
      </c>
      <c r="X155" s="36">
        <f>AVERAGE(D149:D155)</f>
        <v>105.42857142857143</v>
      </c>
    </row>
    <row r="156" spans="1:24" x14ac:dyDescent="0.25">
      <c r="A156" s="2">
        <v>44044</v>
      </c>
      <c r="B156" s="7">
        <v>5241</v>
      </c>
      <c r="C156" s="7">
        <f>C155+B156</f>
        <v>196543</v>
      </c>
      <c r="D156" s="4">
        <f>15+38</f>
        <v>53</v>
      </c>
      <c r="E156" s="7">
        <v>3596</v>
      </c>
      <c r="F156" s="194">
        <v>89026</v>
      </c>
      <c r="G156" s="4">
        <v>1128</v>
      </c>
      <c r="H156" s="4">
        <v>13057</v>
      </c>
      <c r="I156" s="4">
        <v>736007</v>
      </c>
      <c r="J156" s="7">
        <f>L156-K156</f>
        <v>846.24599999998463</v>
      </c>
      <c r="K156" s="7">
        <f>0.998*L156</f>
        <v>422276.75400000002</v>
      </c>
      <c r="L156" s="4">
        <v>423123</v>
      </c>
      <c r="M156" s="4">
        <v>1123</v>
      </c>
      <c r="N156" s="4">
        <v>55946</v>
      </c>
      <c r="O156" s="4">
        <v>107909</v>
      </c>
      <c r="P156" s="4">
        <f>196543-O156-N156-M156</f>
        <v>31565</v>
      </c>
      <c r="Q156" s="29">
        <f>F156-F155</f>
        <v>2527</v>
      </c>
      <c r="R156" s="72">
        <f>G156/(C156-E156-F156)</f>
        <v>1.0854399014636118E-2</v>
      </c>
      <c r="S156" s="62">
        <f>E156/C156</f>
        <v>1.8296250693232523E-2</v>
      </c>
      <c r="U156" s="146">
        <f>(C156-C149)/C149</f>
        <v>0.2413189839200677</v>
      </c>
      <c r="W156" s="213">
        <f>AVERAGE(B150:B156)</f>
        <v>5458.4285714285716</v>
      </c>
      <c r="X156" s="36">
        <f>AVERAGE(D150:D156)</f>
        <v>100.71428571428571</v>
      </c>
    </row>
    <row r="157" spans="1:24" x14ac:dyDescent="0.25">
      <c r="A157" s="2">
        <v>44045</v>
      </c>
      <c r="B157" s="4">
        <v>5376</v>
      </c>
      <c r="C157" s="7">
        <f>C156+B157</f>
        <v>201919</v>
      </c>
      <c r="D157" s="4">
        <f>15+36</f>
        <v>51</v>
      </c>
      <c r="E157" s="7">
        <f>E156+D157</f>
        <v>3647</v>
      </c>
      <c r="F157" s="194">
        <v>91302</v>
      </c>
      <c r="G157" s="4">
        <v>1112</v>
      </c>
      <c r="H157" s="4">
        <v>11900</v>
      </c>
      <c r="I157" s="4">
        <v>747907</v>
      </c>
      <c r="J157" s="7">
        <f>L157-K157</f>
        <v>856.68800000002375</v>
      </c>
      <c r="K157" s="7">
        <f>0.998*L157</f>
        <v>427487.31199999998</v>
      </c>
      <c r="L157" s="4">
        <v>428344</v>
      </c>
      <c r="M157" s="4">
        <v>1123</v>
      </c>
      <c r="N157" s="4">
        <v>56975</v>
      </c>
      <c r="O157" s="4">
        <v>110459</v>
      </c>
      <c r="P157" s="4">
        <f>201919-O157-N157-M157</f>
        <v>33362</v>
      </c>
      <c r="Q157" s="29">
        <f>F157-F156</f>
        <v>2276</v>
      </c>
      <c r="R157" s="72">
        <f>G157/(C157-E157-F157)</f>
        <v>1.0395437973263533E-2</v>
      </c>
      <c r="S157" s="62">
        <f>E157/C157</f>
        <v>1.8061698007616915E-2</v>
      </c>
      <c r="U157" s="146">
        <f>(C157-C150)/C150</f>
        <v>0.2423796807895352</v>
      </c>
      <c r="W157" s="213">
        <f>AVERAGE(B151:B157)</f>
        <v>5627.5714285714284</v>
      </c>
      <c r="X157" s="36">
        <f>AVERAGE(D151:D157)</f>
        <v>101.57142857142857</v>
      </c>
    </row>
    <row r="158" spans="1:24" x14ac:dyDescent="0.25">
      <c r="A158" s="73">
        <v>44046</v>
      </c>
      <c r="B158" s="12">
        <v>4824</v>
      </c>
      <c r="C158" s="7">
        <f>C157+B158</f>
        <v>206743</v>
      </c>
      <c r="D158" s="4">
        <v>164</v>
      </c>
      <c r="E158" s="7">
        <f>E157+D158</f>
        <v>3811</v>
      </c>
      <c r="F158" s="194">
        <v>94129</v>
      </c>
      <c r="G158" s="4">
        <v>1150</v>
      </c>
      <c r="H158" s="4">
        <v>12839</v>
      </c>
      <c r="I158" s="4">
        <v>760746</v>
      </c>
      <c r="J158" s="7">
        <f>L158-K158</f>
        <v>869.87800000002608</v>
      </c>
      <c r="K158" s="7">
        <f>0.998*L158</f>
        <v>434069.12199999997</v>
      </c>
      <c r="L158" s="4">
        <v>434939</v>
      </c>
      <c r="M158" s="4">
        <v>1123</v>
      </c>
      <c r="N158" s="4">
        <v>58084</v>
      </c>
      <c r="O158" s="4">
        <v>114826</v>
      </c>
      <c r="P158" s="4">
        <f>206743-M158-N158-O158</f>
        <v>32710</v>
      </c>
      <c r="Q158" s="29">
        <f>F158-F157</f>
        <v>2827</v>
      </c>
      <c r="R158" s="72">
        <f>G158/(C158-E158-F158)</f>
        <v>1.0569561501061552E-2</v>
      </c>
      <c r="S158" s="62">
        <f>E158/C158</f>
        <v>1.8433514073027867E-2</v>
      </c>
      <c r="U158" s="146">
        <f>(C158-C151)/C151</f>
        <v>0.23490586323887799</v>
      </c>
      <c r="W158" s="213">
        <f>AVERAGE(B152:B158)</f>
        <v>5618.1428571428569</v>
      </c>
      <c r="X158" s="36">
        <f>AVERAGE(D152:D158)</f>
        <v>107.71428571428571</v>
      </c>
    </row>
    <row r="159" spans="1:24" x14ac:dyDescent="0.25">
      <c r="A159" s="2">
        <v>44047</v>
      </c>
      <c r="B159" s="12">
        <v>6792</v>
      </c>
      <c r="C159" s="7">
        <f>C158+B159</f>
        <v>213535</v>
      </c>
      <c r="D159" s="60">
        <f>116+52</f>
        <v>168</v>
      </c>
      <c r="E159" s="7">
        <f>E158+D159</f>
        <v>3979</v>
      </c>
      <c r="F159" s="194">
        <v>96948</v>
      </c>
      <c r="G159" s="4">
        <v>1207</v>
      </c>
      <c r="H159" s="4">
        <v>16532</v>
      </c>
      <c r="I159" s="4">
        <f>I158+H159</f>
        <v>777278</v>
      </c>
      <c r="J159" s="7">
        <f>L159-K159</f>
        <v>885.76199999998789</v>
      </c>
      <c r="K159" s="7">
        <f>0.998*L159</f>
        <v>441995.23800000001</v>
      </c>
      <c r="L159" s="4">
        <v>442881</v>
      </c>
      <c r="M159" s="4">
        <v>1123</v>
      </c>
      <c r="N159" s="4">
        <v>59408</v>
      </c>
      <c r="O159" s="4">
        <v>119544</v>
      </c>
      <c r="P159" s="4">
        <f>213535-O159-N159-M159</f>
        <v>33460</v>
      </c>
      <c r="Q159" s="29">
        <f>F159-F158</f>
        <v>2819</v>
      </c>
      <c r="R159" s="72">
        <f>G159/(C159-E159-F159)</f>
        <v>1.0718599033816426E-2</v>
      </c>
      <c r="S159" s="62">
        <f>E159/C159</f>
        <v>1.8633947596412764E-2</v>
      </c>
      <c r="U159" s="146">
        <f>(C159-C152)/C152</f>
        <v>0.23177871996769633</v>
      </c>
      <c r="W159" s="213">
        <f>AVERAGE(B153:B159)</f>
        <v>5740</v>
      </c>
      <c r="X159" s="36">
        <f>AVERAGE(D153:D159)</f>
        <v>114.57142857142857</v>
      </c>
    </row>
    <row r="160" spans="1:24" x14ac:dyDescent="0.25">
      <c r="A160" s="2">
        <v>44048</v>
      </c>
      <c r="B160" s="12">
        <v>7147</v>
      </c>
      <c r="C160" s="7">
        <f>C159+B160</f>
        <v>220682</v>
      </c>
      <c r="D160" s="4">
        <f>30+97</f>
        <v>127</v>
      </c>
      <c r="E160" s="7">
        <f>E159+D160</f>
        <v>4106</v>
      </c>
      <c r="F160" s="194">
        <v>99852</v>
      </c>
      <c r="G160" s="4">
        <v>1219</v>
      </c>
      <c r="H160" s="4">
        <v>17266</v>
      </c>
      <c r="I160" s="4">
        <f>I159+H160</f>
        <v>794544</v>
      </c>
      <c r="J160" s="7">
        <f>L160-K160</f>
        <v>902.90999999997439</v>
      </c>
      <c r="K160" s="7">
        <f>0.998*L160</f>
        <v>450552.09</v>
      </c>
      <c r="L160" s="4">
        <v>451455</v>
      </c>
      <c r="M160" s="4">
        <v>1124</v>
      </c>
      <c r="N160" s="4">
        <v>60922</v>
      </c>
      <c r="O160" s="4">
        <v>124163</v>
      </c>
      <c r="P160" s="4">
        <f>220682-O160-N160-M160</f>
        <v>34473</v>
      </c>
      <c r="Q160" s="29">
        <f>F160-F159</f>
        <v>2904</v>
      </c>
      <c r="R160" s="72">
        <f>G160/(C160-E160-F160)</f>
        <v>1.0443439224152702E-2</v>
      </c>
      <c r="S160" s="62">
        <f>E160/C160</f>
        <v>1.8605957894164454E-2</v>
      </c>
      <c r="U160" s="146">
        <f>(C160-C153)/C153</f>
        <v>0.23288788576281033</v>
      </c>
      <c r="W160" s="213">
        <f>AVERAGE(B154:B160)</f>
        <v>5955.1428571428569</v>
      </c>
      <c r="X160" s="36">
        <f>AVERAGE(D154:D160)</f>
        <v>117</v>
      </c>
    </row>
    <row r="161" spans="1:24" x14ac:dyDescent="0.25">
      <c r="A161" s="2">
        <v>44049</v>
      </c>
      <c r="B161" s="12">
        <v>7513</v>
      </c>
      <c r="C161" s="7">
        <f>C160+B161</f>
        <v>228195</v>
      </c>
      <c r="D161" s="4">
        <v>145</v>
      </c>
      <c r="E161" s="7">
        <f>E160+D161</f>
        <v>4251</v>
      </c>
      <c r="F161" s="194">
        <v>103297</v>
      </c>
      <c r="G161" s="4">
        <v>1245</v>
      </c>
      <c r="H161" s="4">
        <v>18020</v>
      </c>
      <c r="I161" s="4">
        <v>812564</v>
      </c>
      <c r="J161" s="7">
        <f>L161-K161</f>
        <v>919.37199999997392</v>
      </c>
      <c r="K161" s="7">
        <f>0.998*L161</f>
        <v>458766.62800000003</v>
      </c>
      <c r="L161" s="4">
        <v>459686</v>
      </c>
      <c r="M161" s="4">
        <v>1127</v>
      </c>
      <c r="N161" s="4">
        <v>62150</v>
      </c>
      <c r="O161" s="4">
        <v>128781</v>
      </c>
      <c r="P161" s="4">
        <f>228195-O161-N161-M161</f>
        <v>36137</v>
      </c>
      <c r="Q161" s="29">
        <f>F161-F160</f>
        <v>3445</v>
      </c>
      <c r="R161" s="72">
        <f>G161/(C161-E161-F161)</f>
        <v>1.0319361442887101E-2</v>
      </c>
      <c r="S161" s="62">
        <f>E161/C161</f>
        <v>1.8628804312101493E-2</v>
      </c>
      <c r="U161" s="146">
        <f>(C161-C154)/C154</f>
        <v>0.2310045152206632</v>
      </c>
      <c r="W161" s="213">
        <f>AVERAGE(B155:B161)</f>
        <v>6117.4285714285716</v>
      </c>
      <c r="X161" s="36">
        <f>AVERAGE(D155:D161)</f>
        <v>115.71428571428571</v>
      </c>
    </row>
    <row r="162" spans="1:24" x14ac:dyDescent="0.25">
      <c r="A162" s="2">
        <v>44050</v>
      </c>
      <c r="B162" s="38">
        <v>7482</v>
      </c>
      <c r="C162" s="7">
        <f>C161+B162</f>
        <v>235677</v>
      </c>
      <c r="D162" s="4">
        <v>160</v>
      </c>
      <c r="E162" s="7">
        <f>E161+D162</f>
        <v>4411</v>
      </c>
      <c r="F162" s="194">
        <v>108242</v>
      </c>
      <c r="G162" s="4">
        <v>1293</v>
      </c>
      <c r="H162" s="4">
        <v>17493</v>
      </c>
      <c r="I162" s="4">
        <f>I161+H162</f>
        <v>830057</v>
      </c>
      <c r="J162" s="7">
        <f>L162-K162</f>
        <v>940.32600000000093</v>
      </c>
      <c r="K162" s="7">
        <f>0.998*L162</f>
        <v>469222.674</v>
      </c>
      <c r="L162" s="4">
        <v>470163</v>
      </c>
      <c r="M162" s="4">
        <v>1130</v>
      </c>
      <c r="N162" s="4">
        <v>63695</v>
      </c>
      <c r="O162" s="4">
        <v>133585</v>
      </c>
      <c r="P162" s="4">
        <f>235677-O162-N162-M162</f>
        <v>37267</v>
      </c>
      <c r="Q162" s="29">
        <f>F162-F161</f>
        <v>4945</v>
      </c>
      <c r="R162" s="72">
        <f>G162/(C162-E162-F162)</f>
        <v>1.0510144362075693E-2</v>
      </c>
      <c r="S162" s="62">
        <f>E162/C162</f>
        <v>1.8716293910733758E-2</v>
      </c>
      <c r="U162" s="146">
        <f>(C162-C155)/C155</f>
        <v>0.23196307409227296</v>
      </c>
      <c r="W162" s="213">
        <f>AVERAGE(B156:B162)</f>
        <v>6339.2857142857147</v>
      </c>
      <c r="X162" s="36">
        <f>AVERAGE(D156:D162)</f>
        <v>124</v>
      </c>
    </row>
    <row r="163" spans="1:24" x14ac:dyDescent="0.25">
      <c r="A163" s="2">
        <v>44051</v>
      </c>
      <c r="B163" s="38">
        <v>6134</v>
      </c>
      <c r="C163" s="7">
        <f>B163+C162</f>
        <v>241811</v>
      </c>
      <c r="D163" s="4">
        <v>112</v>
      </c>
      <c r="E163" s="7">
        <f>E162+D163</f>
        <v>4523</v>
      </c>
      <c r="F163" s="194">
        <v>170109</v>
      </c>
      <c r="G163" s="4">
        <v>1502</v>
      </c>
      <c r="H163" s="4">
        <v>15163</v>
      </c>
      <c r="I163" s="4">
        <v>845220</v>
      </c>
      <c r="J163" s="7">
        <f>L163-K163</f>
        <v>955.79399999999441</v>
      </c>
      <c r="K163" s="7">
        <f>0.998*L163</f>
        <v>476941.20600000001</v>
      </c>
      <c r="L163" s="4">
        <v>477897</v>
      </c>
      <c r="M163" s="4">
        <v>1130</v>
      </c>
      <c r="N163" s="4">
        <v>64762</v>
      </c>
      <c r="O163" s="4">
        <v>136987</v>
      </c>
      <c r="P163" s="4">
        <f>241811-O163-N163-M163</f>
        <v>38932</v>
      </c>
      <c r="Q163" s="29">
        <f>F163-F162</f>
        <v>61867</v>
      </c>
      <c r="R163" s="72">
        <f>G163/(C163-E163-F163)</f>
        <v>2.2358177406630049E-2</v>
      </c>
      <c r="S163" s="62">
        <f>E163/C163</f>
        <v>1.870469085360054E-2</v>
      </c>
      <c r="U163" s="146">
        <f>(C163-C156)/C156</f>
        <v>0.23032110021725527</v>
      </c>
      <c r="W163" s="213">
        <f>AVERAGE(B157:B163)</f>
        <v>6466.8571428571431</v>
      </c>
      <c r="X163" s="36">
        <f>AVERAGE(D157:D163)</f>
        <v>132.42857142857142</v>
      </c>
    </row>
    <row r="164" spans="1:24" x14ac:dyDescent="0.25">
      <c r="A164" s="2">
        <v>44052</v>
      </c>
      <c r="B164" s="12">
        <v>4688</v>
      </c>
      <c r="C164" s="7">
        <f>C163+B164</f>
        <v>246499</v>
      </c>
      <c r="D164" s="4">
        <v>83</v>
      </c>
      <c r="E164" s="7">
        <f>E163+D164</f>
        <v>4606</v>
      </c>
      <c r="F164" s="194">
        <v>174974</v>
      </c>
      <c r="G164" s="4">
        <v>1565</v>
      </c>
      <c r="H164" s="4">
        <v>10835</v>
      </c>
      <c r="I164" s="4">
        <v>856055</v>
      </c>
      <c r="J164" s="7">
        <f>L164-K164</f>
        <v>966.1020000000135</v>
      </c>
      <c r="K164" s="7">
        <f>0.998*L164</f>
        <v>482084.89799999999</v>
      </c>
      <c r="L164" s="4">
        <v>483051</v>
      </c>
      <c r="M164" s="4">
        <v>1131</v>
      </c>
      <c r="N164" s="4">
        <v>65737</v>
      </c>
      <c r="O164" s="4">
        <v>139746</v>
      </c>
      <c r="P164" s="4">
        <f>246499-O164-N164-M164</f>
        <v>39885</v>
      </c>
      <c r="Q164" s="29">
        <f>F164-F163</f>
        <v>4865</v>
      </c>
      <c r="R164" s="72">
        <f>G164/(C164-E164-F164)</f>
        <v>2.3386482165005454E-2</v>
      </c>
      <c r="S164" s="62">
        <f>E164/C164</f>
        <v>1.8685674181233999E-2</v>
      </c>
      <c r="U164" s="146">
        <f>(C164-C157)/C157</f>
        <v>0.22078160054279192</v>
      </c>
      <c r="W164" s="213">
        <f>AVERAGE(B158:B164)</f>
        <v>6368.5714285714284</v>
      </c>
      <c r="X164" s="36">
        <f>AVERAGE(D158:D164)</f>
        <v>137</v>
      </c>
    </row>
    <row r="165" spans="1:24" x14ac:dyDescent="0.25">
      <c r="A165" s="73">
        <v>44053</v>
      </c>
      <c r="B165" s="12">
        <v>7369</v>
      </c>
      <c r="C165" s="7">
        <f>C164+B165</f>
        <v>253868</v>
      </c>
      <c r="D165" s="4">
        <f>27+131</f>
        <v>158</v>
      </c>
      <c r="E165" s="7">
        <f>E164+D165</f>
        <v>4764</v>
      </c>
      <c r="F165" s="194">
        <v>181398</v>
      </c>
      <c r="G165" s="4">
        <v>1569</v>
      </c>
      <c r="H165" s="4">
        <v>16588</v>
      </c>
      <c r="I165" s="4">
        <v>872643</v>
      </c>
      <c r="J165" s="7">
        <f>L165-K165</f>
        <v>983.05200000002515</v>
      </c>
      <c r="K165" s="7">
        <f>0.998*L165</f>
        <v>490542.94799999997</v>
      </c>
      <c r="L165" s="4">
        <v>491526</v>
      </c>
      <c r="M165" s="4">
        <v>1136</v>
      </c>
      <c r="N165" s="4">
        <v>67245</v>
      </c>
      <c r="O165" s="4">
        <v>144896</v>
      </c>
      <c r="P165" s="4">
        <f>253686-O165-N165-M165</f>
        <v>40409</v>
      </c>
      <c r="Q165" s="29">
        <f>F165-F164</f>
        <v>6424</v>
      </c>
      <c r="R165" s="72">
        <f>G165/(C165-E165-F165)</f>
        <v>2.3173721679024015E-2</v>
      </c>
      <c r="S165" s="62">
        <f>E165/C165</f>
        <v>1.8765657743394205E-2</v>
      </c>
      <c r="U165" s="146">
        <f>(C165-C158)/C158</f>
        <v>0.22794000280541543</v>
      </c>
      <c r="W165" s="213">
        <f>AVERAGE(B159:B165)</f>
        <v>6732.1428571428569</v>
      </c>
      <c r="X165" s="36">
        <f>AVERAGE(D159:D165)</f>
        <v>136.14285714285714</v>
      </c>
    </row>
    <row r="166" spans="1:24" x14ac:dyDescent="0.25">
      <c r="A166" s="2">
        <v>44054</v>
      </c>
      <c r="B166" s="12">
        <v>7043</v>
      </c>
      <c r="C166" s="7">
        <f>C165+B166</f>
        <v>260911</v>
      </c>
      <c r="D166" s="4">
        <f>21+220</f>
        <v>241</v>
      </c>
      <c r="E166" s="7">
        <f>E165+D166</f>
        <v>5005</v>
      </c>
      <c r="F166" s="194">
        <v>187283</v>
      </c>
      <c r="G166" s="4">
        <v>1585</v>
      </c>
      <c r="H166" s="4">
        <v>19174</v>
      </c>
      <c r="I166" s="4">
        <f>I165+H166</f>
        <v>891817</v>
      </c>
      <c r="J166" s="7">
        <f>L166-K166</f>
        <v>1003.3040000000037</v>
      </c>
      <c r="K166" s="7">
        <f>0.998*L166</f>
        <v>500648.696</v>
      </c>
      <c r="L166" s="4">
        <v>501652</v>
      </c>
      <c r="M166" s="4">
        <v>1137</v>
      </c>
      <c r="N166" s="4">
        <v>68717</v>
      </c>
      <c r="O166" s="4">
        <v>151086</v>
      </c>
      <c r="P166" s="4">
        <f>260911-O166-N166-M166</f>
        <v>39971</v>
      </c>
      <c r="Q166" s="29">
        <f>F166-F165</f>
        <v>5885</v>
      </c>
      <c r="R166" s="72">
        <f>G166/(C166-E166-F166)</f>
        <v>2.3097212304912348E-2</v>
      </c>
      <c r="S166" s="62">
        <f>E166/C166</f>
        <v>1.9182786467416092E-2</v>
      </c>
      <c r="U166" s="146">
        <f>(C166-C159)/C159</f>
        <v>0.22186526798885428</v>
      </c>
      <c r="W166" s="213">
        <f>AVERAGE(B160:B166)</f>
        <v>6768</v>
      </c>
      <c r="X166" s="36">
        <f>AVERAGE(D160:D166)</f>
        <v>146.57142857142858</v>
      </c>
    </row>
    <row r="167" spans="1:24" x14ac:dyDescent="0.25">
      <c r="A167" s="65">
        <v>44055</v>
      </c>
      <c r="B167" s="12">
        <v>7663</v>
      </c>
      <c r="C167" s="7">
        <f>C166+B167</f>
        <v>268574</v>
      </c>
      <c r="D167" s="7">
        <f>84+125</f>
        <v>209</v>
      </c>
      <c r="E167" s="7">
        <f>E166+D167</f>
        <v>5214</v>
      </c>
      <c r="F167" s="194">
        <v>192434</v>
      </c>
      <c r="G167" s="4">
        <v>1662</v>
      </c>
      <c r="H167" s="4">
        <v>19779</v>
      </c>
      <c r="I167" s="4">
        <v>911596</v>
      </c>
      <c r="J167" s="7">
        <f>L167-K167</f>
        <v>1024.2339999999967</v>
      </c>
      <c r="K167" s="7">
        <f>0.998*L167</f>
        <v>511092.766</v>
      </c>
      <c r="L167" s="4">
        <v>512117</v>
      </c>
      <c r="M167" s="4">
        <v>1142</v>
      </c>
      <c r="N167" s="4">
        <v>70280</v>
      </c>
      <c r="O167" s="4">
        <v>156764</v>
      </c>
      <c r="P167" s="4">
        <f>268574-O167-N167-M167</f>
        <v>40388</v>
      </c>
      <c r="Q167" s="29">
        <f>F167-F166</f>
        <v>5151</v>
      </c>
      <c r="R167" s="72">
        <f>G167/(C167-E167-F167)</f>
        <v>2.3432873699348617E-2</v>
      </c>
      <c r="S167" s="62">
        <f>E167/C167</f>
        <v>1.9413643911919992E-2</v>
      </c>
      <c r="U167" s="146">
        <f>(C167-C160)/C160</f>
        <v>0.21701815281717585</v>
      </c>
      <c r="W167" s="213">
        <f>AVERAGE(B161:B167)</f>
        <v>6841.7142857142853</v>
      </c>
      <c r="X167" s="36">
        <f>AVERAGE(D161:D167)</f>
        <v>158.28571428571428</v>
      </c>
    </row>
    <row r="168" spans="1:24" x14ac:dyDescent="0.25">
      <c r="A168" s="65">
        <v>44056</v>
      </c>
      <c r="B168" s="12">
        <v>7498</v>
      </c>
      <c r="C168" s="7">
        <f>C167+B168</f>
        <v>276072</v>
      </c>
      <c r="D168" s="7">
        <f>33+116</f>
        <v>149</v>
      </c>
      <c r="E168" s="7">
        <f>E167+D168</f>
        <v>5363</v>
      </c>
      <c r="F168" s="194">
        <v>199005</v>
      </c>
      <c r="G168" s="4">
        <v>1682</v>
      </c>
      <c r="H168" s="4">
        <v>18501</v>
      </c>
      <c r="I168" s="4">
        <v>930097</v>
      </c>
      <c r="J168" s="7">
        <f>L168-K168</f>
        <v>1045.8319999999949</v>
      </c>
      <c r="K168" s="7">
        <f>0.998*L168</f>
        <v>521870.16800000001</v>
      </c>
      <c r="L168" s="4">
        <v>522916</v>
      </c>
      <c r="M168" s="4">
        <v>1143</v>
      </c>
      <c r="N168" s="4">
        <v>71620</v>
      </c>
      <c r="O168" s="4">
        <v>162959</v>
      </c>
      <c r="P168" s="4">
        <f>276072-O168-N168-M168</f>
        <v>40350</v>
      </c>
      <c r="Q168" s="29">
        <f>F168-F167</f>
        <v>6571</v>
      </c>
      <c r="R168" s="72">
        <f>G168/(C168-E168-F168)</f>
        <v>2.3457547696083901E-2</v>
      </c>
      <c r="S168" s="62">
        <f>E168/C168</f>
        <v>1.9426091744182677E-2</v>
      </c>
      <c r="U168" s="146">
        <f>(C168-C161)/C161</f>
        <v>0.20980740156445146</v>
      </c>
      <c r="W168" s="213">
        <f>AVERAGE(B162:B168)</f>
        <v>6839.5714285714284</v>
      </c>
      <c r="X168" s="36">
        <f>AVERAGE(D162:D168)</f>
        <v>158.85714285714286</v>
      </c>
    </row>
    <row r="169" spans="1:24" x14ac:dyDescent="0.25">
      <c r="A169" s="2">
        <v>44057</v>
      </c>
      <c r="B169" s="34">
        <v>6365</v>
      </c>
      <c r="C169" s="7">
        <f>C168+B169</f>
        <v>282437</v>
      </c>
      <c r="D169" s="4">
        <f>66+99</f>
        <v>165</v>
      </c>
      <c r="E169" s="7">
        <f>E168+D169</f>
        <v>5528</v>
      </c>
      <c r="F169" s="194">
        <v>205697</v>
      </c>
      <c r="G169" s="47">
        <v>1718</v>
      </c>
      <c r="H169" s="47">
        <v>19073</v>
      </c>
      <c r="I169" s="47">
        <v>949170</v>
      </c>
      <c r="J169" s="7">
        <f>L169-K169</f>
        <v>1066.9579999999842</v>
      </c>
      <c r="K169" s="7">
        <f>0.998*L169</f>
        <v>532412.04200000002</v>
      </c>
      <c r="L169" s="4">
        <v>533479</v>
      </c>
      <c r="M169" s="4">
        <v>1148</v>
      </c>
      <c r="N169" s="4">
        <v>72902</v>
      </c>
      <c r="O169" s="4">
        <v>168252</v>
      </c>
      <c r="P169" s="4">
        <f>282437-O169-N169-M169</f>
        <v>40135</v>
      </c>
      <c r="Q169" s="29">
        <f>F169-F168</f>
        <v>6692</v>
      </c>
      <c r="R169" s="72">
        <f>G169/(C169-E169-F169)</f>
        <v>2.4125147447059483E-2</v>
      </c>
      <c r="S169" s="62">
        <f>E169/C169</f>
        <v>1.9572506435063395E-2</v>
      </c>
      <c r="U169" s="146">
        <f>(C169-C162)/C162</f>
        <v>0.19840714197821596</v>
      </c>
      <c r="W169" s="213">
        <f>AVERAGE(B163:B169)</f>
        <v>6680</v>
      </c>
      <c r="X169" s="36">
        <f>AVERAGE(D163:D169)</f>
        <v>159.57142857142858</v>
      </c>
    </row>
    <row r="170" spans="1:24" x14ac:dyDescent="0.25">
      <c r="A170" s="2">
        <v>44058</v>
      </c>
      <c r="B170" s="4">
        <v>6663</v>
      </c>
      <c r="C170" s="7">
        <f>C169+B170</f>
        <v>289100</v>
      </c>
      <c r="D170" s="4">
        <f>38+72-1</f>
        <v>109</v>
      </c>
      <c r="E170" s="7">
        <f>E169+D170</f>
        <v>5637</v>
      </c>
      <c r="F170" s="194">
        <v>211702</v>
      </c>
      <c r="G170" s="4">
        <v>1716</v>
      </c>
      <c r="H170" s="4">
        <v>17756</v>
      </c>
      <c r="I170" s="4">
        <f>I169+H170</f>
        <v>966926</v>
      </c>
      <c r="J170" s="7">
        <f>L170-K170</f>
        <v>1086.1879999999655</v>
      </c>
      <c r="K170" s="7">
        <f>0.998*L170</f>
        <v>542007.81200000003</v>
      </c>
      <c r="L170" s="4">
        <v>543094</v>
      </c>
      <c r="M170" s="4">
        <v>1151</v>
      </c>
      <c r="N170" s="4">
        <v>74109</v>
      </c>
      <c r="O170" s="4">
        <v>171954</v>
      </c>
      <c r="P170" s="4">
        <f>289100-O170-N170-M170</f>
        <v>41886</v>
      </c>
      <c r="Q170" s="29">
        <f>F170-F169</f>
        <v>6005</v>
      </c>
      <c r="R170" s="72">
        <f>G170/(C170-E170-F170)</f>
        <v>2.3912710246512731E-2</v>
      </c>
      <c r="S170" s="62">
        <f>E170/C170</f>
        <v>1.9498443445174679E-2</v>
      </c>
      <c r="U170" s="146">
        <f>(C170-C163)/C163</f>
        <v>0.19556182307670039</v>
      </c>
      <c r="W170" s="213">
        <f>AVERAGE(B164:B170)</f>
        <v>6755.5714285714284</v>
      </c>
      <c r="X170" s="36">
        <f>AVERAGE(D164:D170)</f>
        <v>159.14285714285714</v>
      </c>
    </row>
    <row r="171" spans="1:24" x14ac:dyDescent="0.25">
      <c r="A171" s="2">
        <v>44059</v>
      </c>
      <c r="B171" s="4">
        <v>5469</v>
      </c>
      <c r="C171" s="7">
        <f>C170+B171</f>
        <v>294569</v>
      </c>
      <c r="D171" s="4">
        <f>20+46</f>
        <v>66</v>
      </c>
      <c r="E171" s="7">
        <f>E170+D171</f>
        <v>5703</v>
      </c>
      <c r="F171" s="194">
        <v>217850</v>
      </c>
      <c r="G171" s="4">
        <v>1708</v>
      </c>
      <c r="H171" s="4">
        <v>14533</v>
      </c>
      <c r="I171" s="4">
        <v>981459</v>
      </c>
      <c r="J171" s="7">
        <f>L171-K171</f>
        <v>1101.25</v>
      </c>
      <c r="K171" s="7">
        <f>0.998*L171</f>
        <v>549523.75</v>
      </c>
      <c r="L171" s="4">
        <v>550625</v>
      </c>
      <c r="M171" s="4">
        <v>1154</v>
      </c>
      <c r="N171" s="4">
        <v>75051</v>
      </c>
      <c r="O171" s="4">
        <v>175520</v>
      </c>
      <c r="P171" s="4">
        <f>294569-O171-N171-M171</f>
        <v>42844</v>
      </c>
      <c r="Q171" s="29">
        <f>F171-F170</f>
        <v>6148</v>
      </c>
      <c r="R171" s="72">
        <f>G171/(C171-E171-F171)</f>
        <v>2.4050918102962712E-2</v>
      </c>
      <c r="S171" s="62">
        <f>E171/C171</f>
        <v>1.9360489392977537E-2</v>
      </c>
      <c r="U171" s="146">
        <f>(C171-C164)/C164</f>
        <v>0.19501093310723369</v>
      </c>
      <c r="W171" s="213">
        <f>AVERAGE(B165:B171)</f>
        <v>6867.1428571428569</v>
      </c>
      <c r="X171" s="36">
        <f>AVERAGE(D165:D171)</f>
        <v>156.71428571428572</v>
      </c>
    </row>
    <row r="172" spans="1:24" x14ac:dyDescent="0.25">
      <c r="A172" s="73">
        <v>44060</v>
      </c>
      <c r="B172" s="4">
        <v>4557</v>
      </c>
      <c r="C172" s="7">
        <f>C171+B172</f>
        <v>299126</v>
      </c>
      <c r="D172" s="4">
        <f>47+64</f>
        <v>111</v>
      </c>
      <c r="E172" s="7">
        <f>E171+D172</f>
        <v>5814</v>
      </c>
      <c r="F172" s="194">
        <v>223531</v>
      </c>
      <c r="G172" s="4">
        <v>1749</v>
      </c>
      <c r="H172" s="4">
        <v>13483</v>
      </c>
      <c r="I172" s="4">
        <f>I171+H172</f>
        <v>994942</v>
      </c>
      <c r="J172" s="7">
        <f>L172-K172</f>
        <v>1116.6300000000047</v>
      </c>
      <c r="K172" s="7">
        <f>0.998*L172</f>
        <v>557198.37</v>
      </c>
      <c r="L172" s="4">
        <v>558315</v>
      </c>
      <c r="M172" s="4">
        <v>1157</v>
      </c>
      <c r="N172" s="4">
        <v>76226</v>
      </c>
      <c r="O172" s="4">
        <v>180483</v>
      </c>
      <c r="P172" s="4">
        <f>299126-O172-N172-M172</f>
        <v>41260</v>
      </c>
      <c r="Q172" s="29">
        <f>F172-F171</f>
        <v>5681</v>
      </c>
      <c r="R172" s="72">
        <f>G172/(C172-E172-F172)</f>
        <v>2.5064129204224645E-2</v>
      </c>
      <c r="S172" s="62">
        <f>E172/C172</f>
        <v>1.9436625368573778E-2</v>
      </c>
      <c r="U172" s="146">
        <f>(C172-C165)/C165</f>
        <v>0.17827374856224495</v>
      </c>
      <c r="W172" s="213">
        <f>AVERAGE(B166:B172)</f>
        <v>6465.4285714285716</v>
      </c>
      <c r="X172" s="36">
        <f>AVERAGE(D166:D172)</f>
        <v>150</v>
      </c>
    </row>
    <row r="173" spans="1:24" x14ac:dyDescent="0.25">
      <c r="A173" s="2">
        <v>44061</v>
      </c>
      <c r="B173" s="4">
        <v>6840</v>
      </c>
      <c r="C173" s="7">
        <f>C172+B173</f>
        <v>305966</v>
      </c>
      <c r="D173" s="4">
        <f>63+170</f>
        <v>233</v>
      </c>
      <c r="E173" s="7">
        <f>E172+D173</f>
        <v>6047</v>
      </c>
      <c r="F173" s="194">
        <v>228725</v>
      </c>
      <c r="G173" s="47">
        <v>1799</v>
      </c>
      <c r="H173" s="47">
        <v>18037</v>
      </c>
      <c r="I173" s="47">
        <f>I172+H173</f>
        <v>1012979</v>
      </c>
      <c r="J173" s="7">
        <f>L173-K173</f>
        <v>1136.4399999999441</v>
      </c>
      <c r="K173" s="7">
        <f>0.998*L173</f>
        <v>567083.56000000006</v>
      </c>
      <c r="L173" s="4">
        <v>568220</v>
      </c>
      <c r="M173" s="4">
        <v>1161</v>
      </c>
      <c r="N173" s="4">
        <v>77895</v>
      </c>
      <c r="O173" s="4">
        <v>185880</v>
      </c>
      <c r="P173" s="4">
        <f>305966-O173-N173-M173</f>
        <v>41030</v>
      </c>
      <c r="Q173" s="29">
        <f>F173-F172</f>
        <v>5194</v>
      </c>
      <c r="R173" s="72">
        <f>G173/(C173-E173-F173)</f>
        <v>2.5268983341292805E-2</v>
      </c>
      <c r="S173" s="62">
        <f>E173/C173</f>
        <v>1.9763633867815378E-2</v>
      </c>
      <c r="U173" s="146">
        <f>(C173-C166)/C166</f>
        <v>0.17268340545243396</v>
      </c>
      <c r="W173" s="213">
        <f>AVERAGE(B167:B173)</f>
        <v>6436.4285714285716</v>
      </c>
      <c r="X173" s="36">
        <f>AVERAGE(D167:D173)</f>
        <v>148.85714285714286</v>
      </c>
    </row>
    <row r="174" spans="1:24" x14ac:dyDescent="0.25">
      <c r="A174" s="2">
        <v>44062</v>
      </c>
      <c r="B174" s="4">
        <v>6693</v>
      </c>
      <c r="C174" s="7">
        <f>C173+B174</f>
        <v>312659</v>
      </c>
      <c r="D174" s="4">
        <f>217+66</f>
        <v>283</v>
      </c>
      <c r="E174" s="7">
        <f>E173+D174</f>
        <v>6330</v>
      </c>
      <c r="F174" s="194">
        <v>233651</v>
      </c>
      <c r="G174" s="47">
        <v>1795</v>
      </c>
      <c r="H174" s="47">
        <v>18013</v>
      </c>
      <c r="I174" s="47">
        <f>I173+H174</f>
        <v>1030992</v>
      </c>
      <c r="J174" s="7">
        <f>L174-K174</f>
        <v>1156.0860000000102</v>
      </c>
      <c r="K174" s="7">
        <f>0.998*L174</f>
        <v>576886.91399999999</v>
      </c>
      <c r="L174" s="4">
        <v>578043</v>
      </c>
      <c r="M174" s="4">
        <v>1163</v>
      </c>
      <c r="N174" s="4">
        <v>79219</v>
      </c>
      <c r="O174" s="4">
        <v>191037</v>
      </c>
      <c r="P174" s="7">
        <f>C174-O174-N174-M174</f>
        <v>41240</v>
      </c>
      <c r="Q174" s="29">
        <f>F174-F173</f>
        <v>4926</v>
      </c>
      <c r="R174" s="72">
        <f>G174/(C174-E174-F174)</f>
        <v>2.4697982883403507E-2</v>
      </c>
      <c r="S174" s="62">
        <f>E174/C174</f>
        <v>2.0245698988354724E-2</v>
      </c>
      <c r="U174" s="146">
        <f>(C174-C167)/C167</f>
        <v>0.16414470499750533</v>
      </c>
      <c r="W174" s="213">
        <f>AVERAGE(B168:B174)</f>
        <v>6297.8571428571431</v>
      </c>
      <c r="X174" s="36">
        <f>AVERAGE(D168:D174)</f>
        <v>159.42857142857142</v>
      </c>
    </row>
    <row r="175" spans="1:24" x14ac:dyDescent="0.25">
      <c r="A175" s="2">
        <v>44063</v>
      </c>
      <c r="B175" s="80">
        <v>8225</v>
      </c>
      <c r="C175" s="7">
        <f>C174+B175</f>
        <v>320884</v>
      </c>
      <c r="D175" s="4">
        <f>111+75</f>
        <v>186</v>
      </c>
      <c r="E175" s="7">
        <f>E174+D175</f>
        <v>6516</v>
      </c>
      <c r="F175" s="194">
        <v>239806</v>
      </c>
      <c r="G175" s="4">
        <v>1832</v>
      </c>
      <c r="H175" s="4">
        <v>21695</v>
      </c>
      <c r="I175" s="4">
        <f>I174+H175</f>
        <v>1052687</v>
      </c>
      <c r="J175" s="7">
        <f>L175-K175</f>
        <v>1178.905999999959</v>
      </c>
      <c r="K175" s="7">
        <f>0.998*L175</f>
        <v>588274.09400000004</v>
      </c>
      <c r="L175" s="4">
        <v>589453</v>
      </c>
      <c r="M175" s="4">
        <v>1172</v>
      </c>
      <c r="N175" s="4">
        <v>80662</v>
      </c>
      <c r="O175" s="4">
        <v>196370</v>
      </c>
      <c r="P175" s="7">
        <f>C175-O175-N175-M175</f>
        <v>42680</v>
      </c>
      <c r="Q175" s="29">
        <f>F175-F174</f>
        <v>6155</v>
      </c>
      <c r="R175" s="72">
        <f>G175/(C175-E175-F175)</f>
        <v>2.4570156379925431E-2</v>
      </c>
      <c r="S175" s="62">
        <f>E175/C175</f>
        <v>2.0306403560165043E-2</v>
      </c>
      <c r="U175" s="146">
        <f>(C175-C168)/C168</f>
        <v>0.16231997449940594</v>
      </c>
      <c r="W175" s="213">
        <f>AVERAGE(B169:B175)</f>
        <v>6401.7142857142853</v>
      </c>
      <c r="X175" s="36">
        <f>AVERAGE(D169:D175)</f>
        <v>164.71428571428572</v>
      </c>
    </row>
    <row r="176" spans="1:24" x14ac:dyDescent="0.25">
      <c r="A176" s="2">
        <v>44064</v>
      </c>
      <c r="B176" s="7">
        <v>8159</v>
      </c>
      <c r="C176" s="7">
        <f>C175+B176</f>
        <v>329043</v>
      </c>
      <c r="D176" s="4">
        <f>50+164</f>
        <v>214</v>
      </c>
      <c r="E176" s="7">
        <f>E175+D176</f>
        <v>6730</v>
      </c>
      <c r="F176" s="194">
        <v>245781</v>
      </c>
      <c r="G176" s="4">
        <v>1853</v>
      </c>
      <c r="H176" s="4">
        <v>21032</v>
      </c>
      <c r="I176" s="4">
        <f>I175+H176</f>
        <v>1073719</v>
      </c>
      <c r="J176" s="7">
        <f>L176-K176</f>
        <v>1201.0119999999879</v>
      </c>
      <c r="K176" s="7">
        <f>0.998*L176</f>
        <v>599304.98800000001</v>
      </c>
      <c r="L176" s="4">
        <v>600506</v>
      </c>
      <c r="M176" s="4">
        <v>1175</v>
      </c>
      <c r="N176" s="4">
        <v>82187</v>
      </c>
      <c r="O176" s="4">
        <v>201933</v>
      </c>
      <c r="P176" s="7">
        <f>C176-O176-N176-M176</f>
        <v>43748</v>
      </c>
      <c r="Q176" s="29">
        <f>F176-F175</f>
        <v>5975</v>
      </c>
      <c r="R176" s="72">
        <f>G176/(C176-E176-F176)</f>
        <v>2.4212094287356923E-2</v>
      </c>
      <c r="S176" s="62">
        <f>E176/C176</f>
        <v>2.0453253830046529E-2</v>
      </c>
      <c r="U176" s="146">
        <f>(C176-C169)/C169</f>
        <v>0.1650137906860645</v>
      </c>
      <c r="W176" s="213">
        <f>AVERAGE(B170:B176)</f>
        <v>6658</v>
      </c>
      <c r="X176" s="36">
        <f>AVERAGE(D170:D176)</f>
        <v>171.71428571428572</v>
      </c>
    </row>
    <row r="177" spans="1:24" s="68" customFormat="1" x14ac:dyDescent="0.25">
      <c r="A177" s="2">
        <v>44065</v>
      </c>
      <c r="B177" s="4">
        <v>7759</v>
      </c>
      <c r="C177" s="7">
        <f>C176+B177</f>
        <v>336802</v>
      </c>
      <c r="D177" s="4">
        <v>118</v>
      </c>
      <c r="E177" s="7">
        <f>E176+D177</f>
        <v>6848</v>
      </c>
      <c r="F177" s="194">
        <v>251400</v>
      </c>
      <c r="G177" s="4">
        <v>1907</v>
      </c>
      <c r="H177" s="4">
        <v>18837</v>
      </c>
      <c r="I177" s="4">
        <f>I176+H177</f>
        <v>1092556</v>
      </c>
      <c r="J177" s="7">
        <f>L177-K177</f>
        <v>1220.3220000000438</v>
      </c>
      <c r="K177" s="7">
        <f>0.998*L177</f>
        <v>608940.67799999996</v>
      </c>
      <c r="L177" s="4">
        <v>610161</v>
      </c>
      <c r="M177" s="4">
        <v>1178</v>
      </c>
      <c r="N177" s="4">
        <v>83443</v>
      </c>
      <c r="O177" s="4">
        <v>205996</v>
      </c>
      <c r="P177" s="7">
        <f>C177-O177-N177-M177</f>
        <v>46185</v>
      </c>
      <c r="Q177" s="29">
        <f>F177-F176</f>
        <v>5619</v>
      </c>
      <c r="R177" s="72">
        <f>G177/(C177-E177-F177)</f>
        <v>2.4276294014308628E-2</v>
      </c>
      <c r="S177" s="62">
        <f>E177/C177</f>
        <v>2.0332420828854936E-2</v>
      </c>
      <c r="T177" s="143"/>
      <c r="U177" s="146">
        <f>(C177-C170)/C170</f>
        <v>0.16500172950536146</v>
      </c>
      <c r="W177" s="213">
        <f>AVERAGE(B171:B177)</f>
        <v>6814.5714285714284</v>
      </c>
      <c r="X177" s="36">
        <f>AVERAGE(D171:D177)</f>
        <v>173</v>
      </c>
    </row>
    <row r="178" spans="1:24" x14ac:dyDescent="0.25">
      <c r="A178" s="2">
        <v>44066</v>
      </c>
      <c r="B178" s="4">
        <v>5352</v>
      </c>
      <c r="C178" s="7">
        <f>C177+B178</f>
        <v>342154</v>
      </c>
      <c r="D178" s="4">
        <f>99+37</f>
        <v>136</v>
      </c>
      <c r="E178" s="7">
        <f>E177+D178</f>
        <v>6984</v>
      </c>
      <c r="F178" s="194">
        <v>256789</v>
      </c>
      <c r="G178" s="4">
        <v>1922</v>
      </c>
      <c r="H178" s="4">
        <v>13322</v>
      </c>
      <c r="I178" s="4">
        <f>I177+H178</f>
        <v>1105878</v>
      </c>
      <c r="J178" s="7">
        <f>L178-K178</f>
        <v>1234.4039999999804</v>
      </c>
      <c r="K178" s="7">
        <f>0.998*L178</f>
        <v>615967.59600000002</v>
      </c>
      <c r="L178" s="4">
        <v>617202</v>
      </c>
      <c r="M178" s="4">
        <v>1179</v>
      </c>
      <c r="N178" s="4">
        <v>84223</v>
      </c>
      <c r="O178" s="4">
        <v>209236</v>
      </c>
      <c r="P178" s="7">
        <f>C178-O178-N178-M178</f>
        <v>47516</v>
      </c>
      <c r="Q178" s="29">
        <f>F178-F177</f>
        <v>5389</v>
      </c>
      <c r="R178" s="72">
        <f>G178/(C178-E178-F178)</f>
        <v>2.4521248772023833E-2</v>
      </c>
      <c r="S178" s="62">
        <f>E178/C178</f>
        <v>2.041186132560192E-2</v>
      </c>
      <c r="U178" s="146">
        <f>(C178-C171)/C171</f>
        <v>0.16154109902942942</v>
      </c>
      <c r="W178" s="213">
        <f>AVERAGE(B172:B178)</f>
        <v>6797.8571428571431</v>
      </c>
      <c r="X178" s="36">
        <f>AVERAGE(D172:D178)</f>
        <v>183</v>
      </c>
    </row>
    <row r="179" spans="1:24" x14ac:dyDescent="0.25">
      <c r="A179" s="73">
        <v>44067</v>
      </c>
      <c r="B179" s="4">
        <v>8713</v>
      </c>
      <c r="C179" s="7">
        <f>C178+B179</f>
        <v>350867</v>
      </c>
      <c r="D179" s="4">
        <f>95+286</f>
        <v>381</v>
      </c>
      <c r="E179" s="7">
        <f>D179+E178</f>
        <v>7365</v>
      </c>
      <c r="F179" s="194">
        <v>263202</v>
      </c>
      <c r="G179" s="4">
        <v>1960</v>
      </c>
      <c r="H179" s="4">
        <v>21220</v>
      </c>
      <c r="I179" s="4">
        <f>I178+H179</f>
        <v>1127098</v>
      </c>
      <c r="J179" s="7">
        <f>L179-K179</f>
        <v>1256.7859999999637</v>
      </c>
      <c r="K179" s="7">
        <f>0.998*L179</f>
        <v>627136.21400000004</v>
      </c>
      <c r="L179" s="4">
        <v>628393</v>
      </c>
      <c r="M179" s="4">
        <v>1180</v>
      </c>
      <c r="N179" s="4">
        <v>85600</v>
      </c>
      <c r="O179" s="4">
        <v>213348</v>
      </c>
      <c r="P179" s="7">
        <f>C179-O179-N179-M179</f>
        <v>50739</v>
      </c>
      <c r="Q179" s="29">
        <f>F179-F178</f>
        <v>6413</v>
      </c>
      <c r="R179" s="72">
        <f>G179/(C179-E179-F179)</f>
        <v>2.4408468244084682E-2</v>
      </c>
      <c r="S179" s="62">
        <f>E179/C179</f>
        <v>2.0990859784476738E-2</v>
      </c>
      <c r="U179" s="146">
        <f>(C179-C172)/C172</f>
        <v>0.17297393071815889</v>
      </c>
      <c r="W179" s="213">
        <f>AVERAGE(B173:B179)</f>
        <v>7391.5714285714284</v>
      </c>
      <c r="X179" s="36">
        <f>AVERAGE(D173:D179)</f>
        <v>221.57142857142858</v>
      </c>
    </row>
    <row r="180" spans="1:24" x14ac:dyDescent="0.25">
      <c r="A180" s="2">
        <v>44068</v>
      </c>
      <c r="B180" s="47">
        <v>8771</v>
      </c>
      <c r="C180" s="66">
        <f>C179+B180</f>
        <v>359638</v>
      </c>
      <c r="D180" s="47">
        <f>36+162</f>
        <v>198</v>
      </c>
      <c r="E180" s="66">
        <f>E179+D180</f>
        <v>7563</v>
      </c>
      <c r="F180" s="194">
        <v>268801</v>
      </c>
      <c r="G180" s="47">
        <v>1990</v>
      </c>
      <c r="H180" s="47">
        <v>21476</v>
      </c>
      <c r="I180" s="47">
        <f>H180+I179</f>
        <v>1148574</v>
      </c>
      <c r="J180" s="7">
        <f>L180-K180</f>
        <v>1278.204000000027</v>
      </c>
      <c r="K180" s="7">
        <f>0.998*L180</f>
        <v>637823.79599999997</v>
      </c>
      <c r="L180" s="4">
        <v>639102</v>
      </c>
      <c r="M180" s="4">
        <v>1183</v>
      </c>
      <c r="N180" s="4">
        <v>87216</v>
      </c>
      <c r="O180" s="4">
        <v>219449</v>
      </c>
      <c r="P180" s="4">
        <f>C180-O180-N180-M180</f>
        <v>51790</v>
      </c>
      <c r="Q180" s="29">
        <f>F180-F179</f>
        <v>5599</v>
      </c>
      <c r="R180" s="72">
        <f>G180/(C180-E180-F180)</f>
        <v>2.3897014674448207E-2</v>
      </c>
      <c r="S180" s="62">
        <f>E180/C180</f>
        <v>2.1029479643419217E-2</v>
      </c>
      <c r="T180" s="227"/>
      <c r="U180" s="146">
        <f>(C180-C173)/C173</f>
        <v>0.1754181837197597</v>
      </c>
      <c r="V180" s="227"/>
      <c r="W180" s="213">
        <f>AVERAGE(B174:B180)</f>
        <v>7667.4285714285716</v>
      </c>
      <c r="X180" s="36">
        <f>AVERAGE(D174:D180)</f>
        <v>216.57142857142858</v>
      </c>
    </row>
    <row r="181" spans="1:24" x14ac:dyDescent="0.25">
      <c r="A181" s="71">
        <v>44069</v>
      </c>
      <c r="B181" s="47">
        <v>10550</v>
      </c>
      <c r="C181" s="66">
        <f>C180+B181</f>
        <v>370188</v>
      </c>
      <c r="D181" s="47">
        <f>98+178</f>
        <v>276</v>
      </c>
      <c r="E181" s="66">
        <f>E180+D181</f>
        <v>7839</v>
      </c>
      <c r="F181" s="194">
        <v>274458</v>
      </c>
      <c r="G181" s="47">
        <v>2022</v>
      </c>
      <c r="H181" s="47">
        <v>24237</v>
      </c>
      <c r="I181" s="47">
        <f>H181+I180</f>
        <v>1172811</v>
      </c>
      <c r="J181" s="7">
        <f>L181-K181</f>
        <v>1301.7900000000373</v>
      </c>
      <c r="K181" s="7">
        <f>0.998*L181</f>
        <v>649593.21</v>
      </c>
      <c r="L181" s="4">
        <v>650895</v>
      </c>
      <c r="M181" s="4">
        <v>1187</v>
      </c>
      <c r="N181" s="4">
        <v>88811</v>
      </c>
      <c r="O181" s="4">
        <v>226073</v>
      </c>
      <c r="P181" s="4">
        <f>C181-O181-N181-M181</f>
        <v>54117</v>
      </c>
      <c r="Q181" s="29">
        <f>F181-F180</f>
        <v>5657</v>
      </c>
      <c r="R181" s="72">
        <f>G181/(C181-E181-F181)</f>
        <v>2.300576850872103E-2</v>
      </c>
      <c r="S181" s="62">
        <f>E181/C181</f>
        <v>2.1175726927939318E-2</v>
      </c>
      <c r="T181" s="19"/>
      <c r="U181" s="146">
        <f>(C181-C174)/C174</f>
        <v>0.183999181216597</v>
      </c>
      <c r="W181" s="213">
        <f>AVERAGE(B175:B181)</f>
        <v>8218.4285714285706</v>
      </c>
      <c r="X181" s="36">
        <f>AVERAGE(D175:D181)</f>
        <v>215.57142857142858</v>
      </c>
    </row>
    <row r="182" spans="1:24" x14ac:dyDescent="0.25">
      <c r="A182" s="2">
        <v>44070</v>
      </c>
      <c r="B182" s="4">
        <v>10104</v>
      </c>
      <c r="C182" s="7">
        <f>C181+B182</f>
        <v>380292</v>
      </c>
      <c r="D182" s="4">
        <f>105+106</f>
        <v>211</v>
      </c>
      <c r="E182" s="7">
        <f>E181+D182</f>
        <v>8050</v>
      </c>
      <c r="F182" s="194">
        <v>274458</v>
      </c>
      <c r="G182" s="4">
        <v>2075</v>
      </c>
      <c r="H182" s="4">
        <v>24067</v>
      </c>
      <c r="I182" s="4">
        <f>I181+H182</f>
        <v>1196878</v>
      </c>
      <c r="J182" s="7">
        <f>L182-K182</f>
        <v>1061.1663999999873</v>
      </c>
      <c r="K182" s="7">
        <f>0.9984*L182</f>
        <v>662167.83360000001</v>
      </c>
      <c r="L182" s="4">
        <v>663229</v>
      </c>
      <c r="M182" s="4">
        <v>1187</v>
      </c>
      <c r="N182" s="4">
        <v>90269</v>
      </c>
      <c r="O182" s="4">
        <v>232379</v>
      </c>
      <c r="P182" s="4">
        <f>C182-O182-N182-M182</f>
        <v>56457</v>
      </c>
      <c r="Q182" s="29">
        <f>F182-F181</f>
        <v>0</v>
      </c>
      <c r="R182" s="72">
        <f>G182/(C182-E182-F182)</f>
        <v>2.1220240530148083E-2</v>
      </c>
      <c r="S182" s="62">
        <f>E182/C182</f>
        <v>2.1167944632019604E-2</v>
      </c>
      <c r="U182" s="146">
        <f>(C182-C175)/C175</f>
        <v>0.18513855474252378</v>
      </c>
      <c r="W182" s="213">
        <f>AVERAGE(B176:B182)</f>
        <v>8486.8571428571431</v>
      </c>
      <c r="X182" s="36">
        <f>AVERAGE(D176:D182)</f>
        <v>219.14285714285714</v>
      </c>
    </row>
    <row r="183" spans="1:24" x14ac:dyDescent="0.25">
      <c r="A183" s="2">
        <v>44071</v>
      </c>
      <c r="B183" s="148">
        <v>11717</v>
      </c>
      <c r="C183" s="66">
        <f>C182+B183</f>
        <v>392009</v>
      </c>
      <c r="D183" s="47">
        <f>80+142</f>
        <v>222</v>
      </c>
      <c r="E183" s="66">
        <f>E182+D183</f>
        <v>8272</v>
      </c>
      <c r="F183" s="194">
        <v>287220</v>
      </c>
      <c r="G183" s="47">
        <v>2114</v>
      </c>
      <c r="H183" s="47">
        <v>25481</v>
      </c>
      <c r="I183" s="47">
        <f>I182+H183</f>
        <v>1222359</v>
      </c>
      <c r="J183" s="7">
        <f>L183-K183</f>
        <v>1081.8352000000887</v>
      </c>
      <c r="K183" s="7">
        <f>0.9984*L183</f>
        <v>675065.16479999991</v>
      </c>
      <c r="L183" s="4">
        <v>676147</v>
      </c>
      <c r="M183" s="4">
        <v>1190</v>
      </c>
      <c r="N183" s="4">
        <v>92043</v>
      </c>
      <c r="O183" s="4">
        <v>239019</v>
      </c>
      <c r="P183" s="4">
        <f>C183-O183-N183-M183</f>
        <v>59757</v>
      </c>
      <c r="Q183" s="29">
        <f>F183-F182</f>
        <v>12762</v>
      </c>
      <c r="R183" s="72">
        <f>G183/(C183-E183-F183)</f>
        <v>2.1902877213340655E-2</v>
      </c>
      <c r="S183" s="62">
        <f>E183/C183</f>
        <v>2.1101556341818681E-2</v>
      </c>
      <c r="U183" s="146">
        <f>(C183-C176)/C176</f>
        <v>0.19136100752789148</v>
      </c>
      <c r="W183" s="213">
        <f>AVERAGE(B177:B183)</f>
        <v>8995.1428571428569</v>
      </c>
      <c r="X183" s="36">
        <f>AVERAGE(D177:D183)</f>
        <v>220.28571428571428</v>
      </c>
    </row>
    <row r="184" spans="1:24" x14ac:dyDescent="0.25">
      <c r="A184" s="2">
        <v>44072</v>
      </c>
      <c r="B184" s="4">
        <v>9230</v>
      </c>
      <c r="C184" s="7">
        <f>C183+B184</f>
        <v>401239</v>
      </c>
      <c r="D184" s="4">
        <f>34+47</f>
        <v>81</v>
      </c>
      <c r="E184" s="7">
        <f>E183+D184</f>
        <v>8353</v>
      </c>
      <c r="F184" s="194">
        <v>294007</v>
      </c>
      <c r="G184" s="4">
        <v>2192</v>
      </c>
      <c r="H184" s="4">
        <v>19910</v>
      </c>
      <c r="I184" s="4">
        <f>I183+H184</f>
        <v>1242269</v>
      </c>
      <c r="J184" s="7">
        <f>L184-K184</f>
        <v>1097.3584000000264</v>
      </c>
      <c r="K184" s="7">
        <f>0.9984*L184</f>
        <v>684751.64159999997</v>
      </c>
      <c r="L184" s="7">
        <v>685849</v>
      </c>
      <c r="M184" s="4">
        <v>1191</v>
      </c>
      <c r="N184" s="4">
        <v>93278</v>
      </c>
      <c r="O184" s="4">
        <v>244308</v>
      </c>
      <c r="P184" s="4">
        <f>C184-O184-N184-M184</f>
        <v>62462</v>
      </c>
      <c r="Q184" s="29">
        <f>F184-F183</f>
        <v>6787</v>
      </c>
      <c r="R184" s="72">
        <f>G184/(C184-E184-F184)</f>
        <v>2.2168508985730032E-2</v>
      </c>
      <c r="S184" s="62">
        <f>E184/C184</f>
        <v>2.0818016194836492E-2</v>
      </c>
      <c r="T184" s="227"/>
      <c r="U184" s="146">
        <f>(C184-C177)/C177</f>
        <v>0.19132012280212113</v>
      </c>
      <c r="W184" s="213">
        <f>AVERAGE(B178:B184)</f>
        <v>9205.2857142857138</v>
      </c>
      <c r="X184" s="36">
        <f>AVERAGE(D178:D184)</f>
        <v>215</v>
      </c>
    </row>
    <row r="185" spans="1:24" x14ac:dyDescent="0.25">
      <c r="A185" s="2">
        <v>44073</v>
      </c>
      <c r="B185" s="4">
        <v>7187</v>
      </c>
      <c r="C185" s="7">
        <f>C184+B185</f>
        <v>408426</v>
      </c>
      <c r="D185" s="4">
        <f>48+55</f>
        <v>103</v>
      </c>
      <c r="E185" s="7">
        <f>E184+D185</f>
        <v>8456</v>
      </c>
      <c r="F185" s="194">
        <v>300195</v>
      </c>
      <c r="G185" s="4">
        <v>2232</v>
      </c>
      <c r="H185" s="4">
        <v>15637</v>
      </c>
      <c r="I185" s="4">
        <f>I184+H185</f>
        <v>1257906</v>
      </c>
      <c r="J185" s="7">
        <f>L185-K185</f>
        <v>1109.0415999999968</v>
      </c>
      <c r="K185" s="7">
        <f>0.9984*L185</f>
        <v>692041.9584</v>
      </c>
      <c r="L185" s="4">
        <v>693151</v>
      </c>
      <c r="M185" s="4">
        <v>1191</v>
      </c>
      <c r="N185" s="4">
        <v>94301</v>
      </c>
      <c r="O185" s="4">
        <v>247931</v>
      </c>
      <c r="P185" s="4">
        <f>C185-O185-N185-M185</f>
        <v>65003</v>
      </c>
      <c r="Q185" s="29">
        <f>F185-F184</f>
        <v>6188</v>
      </c>
      <c r="R185" s="72">
        <f>G185/(C185-E185-F185)</f>
        <v>2.2370333249812076E-2</v>
      </c>
      <c r="S185" s="62">
        <f>E185/C185</f>
        <v>2.0703872917003326E-2</v>
      </c>
      <c r="U185" s="146">
        <f>(C185-C178)/C178</f>
        <v>0.19369056039093507</v>
      </c>
      <c r="W185" s="213">
        <f>AVERAGE(B179:B185)</f>
        <v>9467.4285714285706</v>
      </c>
      <c r="X185" s="36">
        <f>AVERAGE(D179:D185)</f>
        <v>210.28571428571428</v>
      </c>
    </row>
    <row r="186" spans="1:24" x14ac:dyDescent="0.25">
      <c r="A186" s="73">
        <v>44074</v>
      </c>
      <c r="B186" s="4">
        <v>9309</v>
      </c>
      <c r="C186" s="7">
        <f>C185+B186</f>
        <v>417735</v>
      </c>
      <c r="D186" s="4">
        <f>41+162</f>
        <v>203</v>
      </c>
      <c r="E186" s="7">
        <f>E185+D186</f>
        <v>8659</v>
      </c>
      <c r="F186" s="194">
        <v>308376</v>
      </c>
      <c r="G186" s="4">
        <v>2273</v>
      </c>
      <c r="H186" s="4">
        <v>19845</v>
      </c>
      <c r="I186" s="4">
        <f>I185+H186</f>
        <v>1277751</v>
      </c>
      <c r="J186" s="7">
        <f>L186-K186</f>
        <v>1125.2863999999827</v>
      </c>
      <c r="K186" s="7">
        <f>0.9984*L186</f>
        <v>702178.71360000002</v>
      </c>
      <c r="L186" s="4">
        <v>703304</v>
      </c>
      <c r="M186" s="4">
        <v>1197</v>
      </c>
      <c r="N186" s="4">
        <v>95857</v>
      </c>
      <c r="O186" s="4">
        <v>255688</v>
      </c>
      <c r="P186" s="4">
        <f>C186-O186-N186-M186</f>
        <v>64993</v>
      </c>
      <c r="Q186" s="29">
        <f>F186-F185</f>
        <v>8181</v>
      </c>
      <c r="R186" s="72">
        <f>G186/(C186-E186-F186)</f>
        <v>2.2571996027805363E-2</v>
      </c>
      <c r="S186" s="62">
        <f>E186/C186</f>
        <v>2.0728452248435014E-2</v>
      </c>
      <c r="U186" s="146">
        <f>(C186-C179)/C179</f>
        <v>0.19057933632972038</v>
      </c>
      <c r="W186" s="213">
        <f>AVERAGE(B180:B186)</f>
        <v>9552.5714285714294</v>
      </c>
      <c r="X186" s="36">
        <f>AVERAGE(D180:D186)</f>
        <v>184.85714285714286</v>
      </c>
    </row>
    <row r="187" spans="1:24" x14ac:dyDescent="0.25">
      <c r="A187" s="75">
        <v>44075</v>
      </c>
      <c r="B187" s="4">
        <v>10504</v>
      </c>
      <c r="C187" s="7">
        <f>C186+B187</f>
        <v>428239</v>
      </c>
      <c r="D187" s="4">
        <f>70+189</f>
        <v>259</v>
      </c>
      <c r="E187" s="7">
        <f>E186+D187</f>
        <v>8918</v>
      </c>
      <c r="F187" s="194">
        <v>315530</v>
      </c>
      <c r="G187" s="4">
        <v>2314</v>
      </c>
      <c r="H187" s="4">
        <v>23115</v>
      </c>
      <c r="I187" s="4">
        <f>I186+H187</f>
        <v>1300866</v>
      </c>
      <c r="J187" s="7">
        <f>L187-K187</f>
        <v>1148.1040000000503</v>
      </c>
      <c r="K187" s="7">
        <f>0.9984*L187</f>
        <v>716416.89599999995</v>
      </c>
      <c r="L187" s="4">
        <v>717565</v>
      </c>
      <c r="M187" s="4">
        <v>1200</v>
      </c>
      <c r="N187" s="4">
        <v>97726</v>
      </c>
      <c r="O187" s="4">
        <v>263555</v>
      </c>
      <c r="P187" s="4">
        <f>C187-O187-N187-M187</f>
        <v>65758</v>
      </c>
      <c r="Q187" s="29">
        <f>F187-F186</f>
        <v>7154</v>
      </c>
      <c r="R187" s="72">
        <f>G187/(C187-E187-F187)</f>
        <v>2.2294803981077357E-2</v>
      </c>
      <c r="S187" s="62">
        <f>E187/C187</f>
        <v>2.0824819785213396E-2</v>
      </c>
      <c r="U187" s="146">
        <f>(C187-C180)/C180</f>
        <v>0.19075014319955066</v>
      </c>
      <c r="W187" s="213">
        <f>AVERAGE(B181:B187)</f>
        <v>9800.1428571428569</v>
      </c>
      <c r="X187" s="36">
        <f>AVERAGE(D181:D187)</f>
        <v>193.57142857142858</v>
      </c>
    </row>
    <row r="188" spans="1:24" x14ac:dyDescent="0.25">
      <c r="A188" s="75">
        <v>44076</v>
      </c>
      <c r="B188" s="47">
        <v>10933</v>
      </c>
      <c r="C188" s="66">
        <f>C187+B188</f>
        <v>439172</v>
      </c>
      <c r="D188" s="47">
        <f>52+146</f>
        <v>198</v>
      </c>
      <c r="E188" s="66">
        <f>E187+D188</f>
        <v>9116</v>
      </c>
      <c r="F188" s="194">
        <v>322461</v>
      </c>
      <c r="G188" s="47">
        <v>2359</v>
      </c>
      <c r="H188" s="47">
        <v>23821</v>
      </c>
      <c r="I188" s="47">
        <f>I187+H188</f>
        <v>1324687</v>
      </c>
      <c r="J188" s="7">
        <f>L188-K188</f>
        <v>1166.611200000043</v>
      </c>
      <c r="K188" s="7">
        <f>0.9984*L188</f>
        <v>727965.38879999996</v>
      </c>
      <c r="L188" s="4">
        <v>729132</v>
      </c>
      <c r="M188" s="4">
        <v>1200</v>
      </c>
      <c r="N188" s="4">
        <v>99630</v>
      </c>
      <c r="O188" s="4">
        <v>272419</v>
      </c>
      <c r="P188" s="4">
        <f>C188-O188-N188-M188</f>
        <v>65923</v>
      </c>
      <c r="Q188" s="29">
        <f>F188-F187</f>
        <v>6931</v>
      </c>
      <c r="R188" s="72">
        <f>G188/(C188-E188-F188)</f>
        <v>2.1924810632464334E-2</v>
      </c>
      <c r="S188" s="62">
        <f>E188/C188</f>
        <v>2.075724317579445E-2</v>
      </c>
      <c r="U188" s="146">
        <f>(C188-C181)/C181</f>
        <v>0.18634855802997397</v>
      </c>
      <c r="W188" s="213">
        <f>AVERAGE(B182:B188)</f>
        <v>9854.8571428571431</v>
      </c>
      <c r="X188" s="36">
        <f>AVERAGE(D182:D188)</f>
        <v>182.42857142857142</v>
      </c>
    </row>
    <row r="189" spans="1:24" x14ac:dyDescent="0.25">
      <c r="A189" s="75">
        <v>44077</v>
      </c>
      <c r="B189" s="147">
        <v>12026</v>
      </c>
      <c r="C189" s="7">
        <f>C188+B189</f>
        <v>451198</v>
      </c>
      <c r="D189" s="4">
        <f>38+206</f>
        <v>244</v>
      </c>
      <c r="E189" s="7">
        <f>E188+D189</f>
        <v>9360</v>
      </c>
      <c r="F189" s="194">
        <v>331621</v>
      </c>
      <c r="G189" s="4">
        <v>2394</v>
      </c>
      <c r="H189" s="4">
        <v>25351</v>
      </c>
      <c r="I189" s="4">
        <f>I188+H189</f>
        <v>1350038</v>
      </c>
      <c r="J189" s="7">
        <f>L189-K189</f>
        <v>1185.8656000000192</v>
      </c>
      <c r="K189" s="7">
        <f>0.9984*L189</f>
        <v>739980.13439999998</v>
      </c>
      <c r="L189" s="4">
        <v>741166</v>
      </c>
      <c r="M189" s="4">
        <v>1202</v>
      </c>
      <c r="N189" s="4">
        <v>101394</v>
      </c>
      <c r="O189" s="4">
        <v>280927</v>
      </c>
      <c r="P189" s="4">
        <f>C189-O189-N189-M189</f>
        <v>67675</v>
      </c>
      <c r="Q189" s="29">
        <f>F189-F188</f>
        <v>9160</v>
      </c>
      <c r="R189" s="72">
        <f>G189/(C189-E189-F189)</f>
        <v>2.1720787174392336E-2</v>
      </c>
      <c r="S189" s="62">
        <f>E189/C189</f>
        <v>2.0744772804843992E-2</v>
      </c>
      <c r="U189" s="146">
        <f>(C189-C182)/C182</f>
        <v>0.18645146361217169</v>
      </c>
      <c r="W189" s="213">
        <f>AVERAGE(B183:B189)</f>
        <v>10129.428571428571</v>
      </c>
      <c r="X189" s="36">
        <f>AVERAGE(D183:D189)</f>
        <v>187.14285714285714</v>
      </c>
    </row>
    <row r="190" spans="1:24" x14ac:dyDescent="0.25">
      <c r="A190" s="87">
        <v>44078</v>
      </c>
      <c r="B190" s="47">
        <v>10684</v>
      </c>
      <c r="C190" s="66">
        <f>C189+B190</f>
        <v>461882</v>
      </c>
      <c r="D190" s="47">
        <f>107+155</f>
        <v>262</v>
      </c>
      <c r="E190" s="66">
        <f>E189+D190</f>
        <v>9622</v>
      </c>
      <c r="F190" s="194">
        <v>340381</v>
      </c>
      <c r="G190" s="47">
        <v>2425</v>
      </c>
      <c r="H190" s="47">
        <v>24486</v>
      </c>
      <c r="I190" s="47">
        <f>I189+H190</f>
        <v>1374524</v>
      </c>
      <c r="J190" s="7">
        <f>L190-K190</f>
        <v>1205.8336000000127</v>
      </c>
      <c r="K190" s="7">
        <f>0.9984*L190</f>
        <v>752440.16639999999</v>
      </c>
      <c r="L190" s="4">
        <v>753646</v>
      </c>
      <c r="M190" s="4">
        <v>1205</v>
      </c>
      <c r="N190" s="4">
        <v>103049</v>
      </c>
      <c r="O190" s="4">
        <v>289005</v>
      </c>
      <c r="P190" s="4">
        <f>C190-O190-N190-M190</f>
        <v>68623</v>
      </c>
      <c r="Q190" s="29">
        <f>F190-F189</f>
        <v>8760</v>
      </c>
      <c r="R190" s="72">
        <f>G190/(C190-E190-F190)</f>
        <v>2.167520267431779E-2</v>
      </c>
      <c r="S190" s="62">
        <f>E190/C190</f>
        <v>2.0832160595130357E-2</v>
      </c>
      <c r="U190" s="146">
        <f>(C190-C183)/C183</f>
        <v>0.17824335665762775</v>
      </c>
      <c r="W190" s="213">
        <f>AVERAGE(B184:B190)</f>
        <v>9981.8571428571431</v>
      </c>
      <c r="X190" s="36">
        <f>AVERAGE(D184:D190)</f>
        <v>192.85714285714286</v>
      </c>
    </row>
    <row r="191" spans="1:24" x14ac:dyDescent="0.25">
      <c r="A191" s="75">
        <v>44079</v>
      </c>
      <c r="B191" s="4">
        <v>9924</v>
      </c>
      <c r="C191" s="7">
        <f>C190+B191</f>
        <v>471806</v>
      </c>
      <c r="D191" s="4">
        <f>62+55</f>
        <v>117</v>
      </c>
      <c r="E191" s="7">
        <f>E190+D191</f>
        <v>9739</v>
      </c>
      <c r="F191" s="194">
        <v>349132</v>
      </c>
      <c r="G191" s="4">
        <v>2456</v>
      </c>
      <c r="H191" s="4">
        <v>22363</v>
      </c>
      <c r="I191" s="4">
        <f>I190+H191</f>
        <v>1396887</v>
      </c>
      <c r="J191" s="7">
        <f>L191-K191</f>
        <v>1223.704000000027</v>
      </c>
      <c r="K191" s="7">
        <f>0.9984*L191</f>
        <v>763591.29599999997</v>
      </c>
      <c r="L191" s="7">
        <v>764815</v>
      </c>
      <c r="M191" s="4">
        <v>1207</v>
      </c>
      <c r="N191" s="4">
        <v>104581</v>
      </c>
      <c r="O191" s="4">
        <v>294844</v>
      </c>
      <c r="P191" s="4">
        <f>C191-O191-N191-M191</f>
        <v>71174</v>
      </c>
      <c r="Q191" s="29">
        <f>F191-F190</f>
        <v>8751</v>
      </c>
      <c r="R191" s="72">
        <f>G191/(C191-E191-F191)</f>
        <v>2.1747022623633063E-2</v>
      </c>
      <c r="S191" s="62">
        <f>E191/C191</f>
        <v>2.0641958771189853E-2</v>
      </c>
      <c r="U191" s="146">
        <f>(C191-C184)/C184</f>
        <v>0.17587273420579755</v>
      </c>
      <c r="W191" s="213">
        <f>AVERAGE(B185:B191)</f>
        <v>10081</v>
      </c>
      <c r="X191" s="36">
        <f>AVERAGE(D185:D191)</f>
        <v>198</v>
      </c>
    </row>
    <row r="192" spans="1:24" x14ac:dyDescent="0.25">
      <c r="A192" s="75">
        <v>44080</v>
      </c>
      <c r="B192" s="4">
        <v>6986</v>
      </c>
      <c r="C192" s="7">
        <f>C191+B192</f>
        <v>478792</v>
      </c>
      <c r="D192" s="4">
        <f>67+51+1</f>
        <v>119</v>
      </c>
      <c r="E192" s="7">
        <f>E191+D192</f>
        <v>9858</v>
      </c>
      <c r="F192" s="194">
        <v>357388</v>
      </c>
      <c r="G192" s="4">
        <v>2512</v>
      </c>
      <c r="H192" s="4">
        <v>15262</v>
      </c>
      <c r="I192" s="4">
        <f>I191+H192</f>
        <v>1412149</v>
      </c>
      <c r="J192" s="7">
        <f>L192-K192</f>
        <v>1235.9904000000097</v>
      </c>
      <c r="K192" s="7">
        <f>0.9984*L192</f>
        <v>771258.00959999999</v>
      </c>
      <c r="L192" s="7">
        <v>772494</v>
      </c>
      <c r="M192" s="4">
        <v>1210</v>
      </c>
      <c r="N192" s="4">
        <v>105702</v>
      </c>
      <c r="O192" s="4">
        <v>299270</v>
      </c>
      <c r="P192" s="4">
        <f>C192-O192-N192-M192</f>
        <v>72610</v>
      </c>
      <c r="Q192" s="29">
        <f>F192-F191</f>
        <v>8256</v>
      </c>
      <c r="R192" s="72">
        <f>G192/(C192-E192-F192)</f>
        <v>2.2519857278611513E-2</v>
      </c>
      <c r="S192" s="62">
        <f>E192/C192</f>
        <v>2.0589316446390081E-2</v>
      </c>
      <c r="U192" s="146">
        <f>(C192-C185)/C185</f>
        <v>0.17228579963077767</v>
      </c>
      <c r="W192" s="213">
        <f>AVERAGE(B186:B192)</f>
        <v>10052.285714285714</v>
      </c>
      <c r="X192" s="36">
        <f>AVERAGE(D186:D192)</f>
        <v>200.28571428571428</v>
      </c>
    </row>
    <row r="193" spans="1:24" x14ac:dyDescent="0.25">
      <c r="A193" s="75">
        <v>44081</v>
      </c>
      <c r="B193" s="4">
        <v>9215</v>
      </c>
      <c r="C193" s="7">
        <f>C192+B193</f>
        <v>488007</v>
      </c>
      <c r="D193" s="4">
        <f>53+215</f>
        <v>268</v>
      </c>
      <c r="E193" s="7">
        <f>E192+D193</f>
        <v>10126</v>
      </c>
      <c r="F193" s="194">
        <v>366590</v>
      </c>
      <c r="G193" s="4">
        <v>2698</v>
      </c>
      <c r="H193" s="4">
        <v>20475</v>
      </c>
      <c r="I193" s="4">
        <f>I192+H193</f>
        <v>1432624</v>
      </c>
      <c r="J193" s="7">
        <f>L193-K193</f>
        <v>1252.6800000000512</v>
      </c>
      <c r="K193" s="7">
        <f>0.9984*L193</f>
        <v>781672.32</v>
      </c>
      <c r="L193" s="4">
        <v>782925</v>
      </c>
      <c r="M193" s="4">
        <v>1217</v>
      </c>
      <c r="N193" s="4">
        <v>107504</v>
      </c>
      <c r="O193" s="4">
        <v>307566</v>
      </c>
      <c r="P193" s="4">
        <f>C193-O193-N193-M193</f>
        <v>71720</v>
      </c>
      <c r="Q193" s="29">
        <f>F193-F192</f>
        <v>9202</v>
      </c>
      <c r="R193" s="72">
        <f>G193/(C193-E193-F193)</f>
        <v>2.4242750986153416E-2</v>
      </c>
      <c r="S193" s="62">
        <f>E193/C193</f>
        <v>2.074970236082679E-2</v>
      </c>
      <c r="U193" s="146">
        <f>(C193-C186)/C186</f>
        <v>0.1682214801249596</v>
      </c>
      <c r="W193" s="213">
        <f>AVERAGE(B187:B193)</f>
        <v>10038.857142857143</v>
      </c>
      <c r="X193" s="36">
        <f>AVERAGE(D187:D193)</f>
        <v>209.57142857142858</v>
      </c>
    </row>
    <row r="194" spans="1:24" x14ac:dyDescent="0.25">
      <c r="A194" s="87">
        <v>44082</v>
      </c>
      <c r="B194" s="4">
        <v>12027</v>
      </c>
      <c r="C194" s="7">
        <f>C193+B194</f>
        <v>500034</v>
      </c>
      <c r="D194" s="4">
        <f>50+227</f>
        <v>277</v>
      </c>
      <c r="E194" s="7">
        <f>E193+D194</f>
        <v>10403</v>
      </c>
      <c r="F194" s="194">
        <v>382490</v>
      </c>
      <c r="G194" s="4">
        <v>2719</v>
      </c>
      <c r="H194" s="4">
        <v>25995</v>
      </c>
      <c r="I194" s="4">
        <f>I193+H194</f>
        <v>1458619</v>
      </c>
      <c r="J194" s="7">
        <f>L194-K194</f>
        <v>1273.516799999983</v>
      </c>
      <c r="K194" s="7">
        <f>0.9984*L194</f>
        <v>794674.48320000002</v>
      </c>
      <c r="L194" s="4">
        <v>795948</v>
      </c>
      <c r="M194" s="4">
        <v>1221</v>
      </c>
      <c r="N194" s="4">
        <v>109701</v>
      </c>
      <c r="O194" s="4">
        <v>316074</v>
      </c>
      <c r="P194" s="4">
        <f>C194-O194-N194-M194</f>
        <v>73038</v>
      </c>
      <c r="Q194" s="29">
        <f>F194-F193</f>
        <v>15900</v>
      </c>
      <c r="R194" s="72">
        <f>G194/(C194-E194-F194)</f>
        <v>2.5377773214735722E-2</v>
      </c>
      <c r="S194" s="62">
        <f>E194/C194</f>
        <v>2.0804585288200401E-2</v>
      </c>
      <c r="U194" s="146">
        <f>(C194-C187)/C187</f>
        <v>0.16765170850856648</v>
      </c>
      <c r="W194" s="213">
        <f>AVERAGE(B188:B194)</f>
        <v>10256.428571428571</v>
      </c>
      <c r="X194" s="36">
        <f>AVERAGE(D188:D194)</f>
        <v>212.14285714285714</v>
      </c>
    </row>
    <row r="195" spans="1:24" x14ac:dyDescent="0.25">
      <c r="A195" s="75">
        <v>44083</v>
      </c>
      <c r="B195" s="4">
        <v>12259</v>
      </c>
      <c r="C195" s="7">
        <f>C194+B195</f>
        <v>512293</v>
      </c>
      <c r="D195" s="4">
        <f>52+202</f>
        <v>254</v>
      </c>
      <c r="E195" s="7">
        <f>E194+D195</f>
        <v>10657</v>
      </c>
      <c r="F195" s="194">
        <v>390098</v>
      </c>
      <c r="G195" s="4">
        <v>2829</v>
      </c>
      <c r="H195" s="4">
        <v>27171</v>
      </c>
      <c r="I195" s="4">
        <f>I194+H195</f>
        <v>1485790</v>
      </c>
      <c r="J195" s="7">
        <f>L195-K195</f>
        <v>1293.7232000000076</v>
      </c>
      <c r="K195" s="7">
        <f>0.9984*L195</f>
        <v>807283.27679999999</v>
      </c>
      <c r="L195" s="4">
        <v>808577</v>
      </c>
      <c r="M195" s="4">
        <v>1222</v>
      </c>
      <c r="N195" s="4">
        <v>112220</v>
      </c>
      <c r="O195" s="4">
        <v>324064</v>
      </c>
      <c r="P195" s="4">
        <f>C195-O195-N195-M195</f>
        <v>74787</v>
      </c>
      <c r="Q195" s="29">
        <f>F195-F194</f>
        <v>7608</v>
      </c>
      <c r="R195" s="72">
        <f>G195/(C195-E195-F195)</f>
        <v>2.5363553228496118E-2</v>
      </c>
      <c r="S195" s="62">
        <f>E195/C195</f>
        <v>2.0802548541557272E-2</v>
      </c>
      <c r="U195" s="146">
        <f>(C195-C188)/C188</f>
        <v>0.16649740876012131</v>
      </c>
      <c r="W195" s="213">
        <f>AVERAGE(B189:B195)</f>
        <v>10445.857142857143</v>
      </c>
      <c r="X195" s="36">
        <f>AVERAGE(D189:D195)</f>
        <v>220.14285714285714</v>
      </c>
    </row>
    <row r="196" spans="1:24" ht="16.5" x14ac:dyDescent="0.25">
      <c r="A196" s="75">
        <v>44084</v>
      </c>
      <c r="B196" s="4">
        <v>11905</v>
      </c>
      <c r="C196" s="7">
        <f>C195+B196</f>
        <v>524198</v>
      </c>
      <c r="D196" s="4">
        <f>55+195</f>
        <v>250</v>
      </c>
      <c r="E196" s="7">
        <f>E195+D196</f>
        <v>10907</v>
      </c>
      <c r="F196" s="194">
        <v>400121</v>
      </c>
      <c r="G196" s="4">
        <v>2880</v>
      </c>
      <c r="H196" s="4">
        <v>28057</v>
      </c>
      <c r="I196" s="4">
        <f>I195+H196</f>
        <v>1513847</v>
      </c>
      <c r="J196" s="7">
        <f>L196-K196</f>
        <v>1315.7488000000594</v>
      </c>
      <c r="K196" s="7">
        <f>0.9984*L196</f>
        <v>821027.25119999994</v>
      </c>
      <c r="L196" s="4">
        <v>822343</v>
      </c>
      <c r="M196" s="4">
        <v>1227</v>
      </c>
      <c r="N196" s="4">
        <v>114335</v>
      </c>
      <c r="O196" s="4">
        <v>332280</v>
      </c>
      <c r="P196" s="4">
        <f>C196-O196-N196-M196</f>
        <v>76356</v>
      </c>
      <c r="Q196" s="29">
        <f>F196-F195</f>
        <v>10023</v>
      </c>
      <c r="R196" s="72">
        <f>G196/(C196-E196-F196)</f>
        <v>2.5448440399399135E-2</v>
      </c>
      <c r="S196" s="62">
        <f>E196/C196</f>
        <v>2.0807023300355974E-2</v>
      </c>
      <c r="U196" s="146">
        <f>(C196-C189)/C189</f>
        <v>0.16179149730273626</v>
      </c>
      <c r="W196" s="213">
        <f>AVERAGE(B190:B196)</f>
        <v>10428.571428571429</v>
      </c>
      <c r="X196" s="36">
        <f>AVERAGE(D190:D196)</f>
        <v>221</v>
      </c>
    </row>
    <row r="197" spans="1:24" ht="16.5" x14ac:dyDescent="0.25">
      <c r="A197" s="87">
        <v>44085</v>
      </c>
      <c r="B197" s="1">
        <v>11507</v>
      </c>
      <c r="C197" s="21">
        <f>C196+B197</f>
        <v>535705</v>
      </c>
      <c r="D197" s="1">
        <f>87+154</f>
        <v>241</v>
      </c>
      <c r="E197" s="21">
        <f>E196+D197</f>
        <v>11148</v>
      </c>
      <c r="F197" s="194">
        <v>409771</v>
      </c>
      <c r="G197" s="1">
        <v>3093</v>
      </c>
      <c r="H197" s="4">
        <v>26254</v>
      </c>
      <c r="I197" s="4">
        <f>I196+H197</f>
        <v>1540101</v>
      </c>
      <c r="J197" s="7">
        <f>L197-K197</f>
        <v>1338.017600000021</v>
      </c>
      <c r="K197" s="7">
        <f>0.9984*L197</f>
        <v>834922.98239999998</v>
      </c>
      <c r="L197" s="4">
        <v>836261</v>
      </c>
      <c r="M197" s="4">
        <v>1229</v>
      </c>
      <c r="N197" s="4">
        <v>116159</v>
      </c>
      <c r="O197" s="4">
        <v>340885</v>
      </c>
      <c r="P197" s="4">
        <f>C197-O197-N197-M197</f>
        <v>77432</v>
      </c>
      <c r="Q197" s="29">
        <f>F197-F196</f>
        <v>9650</v>
      </c>
      <c r="R197" s="72">
        <f>G197/(C197-E197-F197)</f>
        <v>2.6945794783335947E-2</v>
      </c>
      <c r="S197" s="62">
        <f>E197/C197</f>
        <v>2.0809960705985571E-2</v>
      </c>
      <c r="U197" s="146">
        <f>(C197-C190)/C190</f>
        <v>0.15983086589215428</v>
      </c>
      <c r="W197" s="213">
        <f>AVERAGE(B191:B197)</f>
        <v>10546.142857142857</v>
      </c>
      <c r="X197" s="36">
        <f>AVERAGE(D191:D197)</f>
        <v>218</v>
      </c>
    </row>
    <row r="198" spans="1:24" ht="16.5" x14ac:dyDescent="0.25">
      <c r="A198" s="75">
        <v>44086</v>
      </c>
      <c r="B198" s="1">
        <v>10776</v>
      </c>
      <c r="C198" s="21">
        <f>C197+B198</f>
        <v>546481</v>
      </c>
      <c r="D198" s="1">
        <f>57+58</f>
        <v>115</v>
      </c>
      <c r="E198" s="21">
        <f>E197+D198</f>
        <v>11263</v>
      </c>
      <c r="F198" s="194">
        <v>419513</v>
      </c>
      <c r="G198" s="1">
        <v>2962</v>
      </c>
      <c r="H198" s="4">
        <v>23140</v>
      </c>
      <c r="I198" s="4">
        <f>I197+H198</f>
        <v>1563241</v>
      </c>
      <c r="J198" s="7">
        <f>L198-K198</f>
        <v>1355.5903999999864</v>
      </c>
      <c r="K198" s="7">
        <f>0.9984*L198</f>
        <v>845888.40960000001</v>
      </c>
      <c r="L198" s="4">
        <v>847244</v>
      </c>
      <c r="M198" s="4">
        <v>1232</v>
      </c>
      <c r="N198" s="4">
        <v>117339</v>
      </c>
      <c r="O198" s="4">
        <v>347893</v>
      </c>
      <c r="P198" s="4">
        <f>C198-O198-N198-M198</f>
        <v>80017</v>
      </c>
      <c r="Q198" s="29">
        <f>F198-F197</f>
        <v>9742</v>
      </c>
      <c r="R198" s="72">
        <f>G198/(C198-E198-F198)</f>
        <v>2.5599585151894904E-2</v>
      </c>
      <c r="S198" s="62">
        <f>E198/C198</f>
        <v>2.0610048656769402E-2</v>
      </c>
      <c r="U198" s="146">
        <f>(C198-C191)/C191</f>
        <v>0.158274799387884</v>
      </c>
      <c r="W198" s="213">
        <f>AVERAGE(B192:B198)</f>
        <v>10667.857142857143</v>
      </c>
      <c r="X198" s="36">
        <f>AVERAGE(D192:D198)</f>
        <v>217.71428571428572</v>
      </c>
    </row>
    <row r="199" spans="1:24" ht="16.5" x14ac:dyDescent="0.25">
      <c r="A199" s="75">
        <v>44087</v>
      </c>
      <c r="B199" s="1">
        <v>9056</v>
      </c>
      <c r="C199" s="137">
        <f>C198+B199</f>
        <v>555537</v>
      </c>
      <c r="D199" s="1">
        <f>44+45</f>
        <v>89</v>
      </c>
      <c r="E199" s="21">
        <f>E198+D199</f>
        <v>11352</v>
      </c>
      <c r="F199" s="194">
        <v>428953</v>
      </c>
      <c r="G199" s="1">
        <v>2984</v>
      </c>
      <c r="H199" s="4">
        <v>17955</v>
      </c>
      <c r="I199" s="4">
        <f>I198+H199</f>
        <v>1581196</v>
      </c>
      <c r="J199" s="7">
        <f>L199-K199</f>
        <v>1368.1983999999939</v>
      </c>
      <c r="K199" s="7">
        <f>0.9984*L199</f>
        <v>853755.80160000001</v>
      </c>
      <c r="L199" s="4">
        <v>855124</v>
      </c>
      <c r="M199" s="4">
        <v>1235</v>
      </c>
      <c r="N199" s="4">
        <v>118561</v>
      </c>
      <c r="O199" s="4">
        <v>353007</v>
      </c>
      <c r="P199" s="4">
        <f>C199-O199-N199-M199</f>
        <v>82734</v>
      </c>
      <c r="Q199" s="29">
        <f>F199-F198</f>
        <v>9440</v>
      </c>
      <c r="R199" s="72">
        <f>G199/(C199-E199-F199)</f>
        <v>2.5895584559844486E-2</v>
      </c>
      <c r="S199" s="62">
        <f>E199/C199</f>
        <v>2.0434282505035668E-2</v>
      </c>
      <c r="U199" s="146">
        <f>(C199-C192)/C192</f>
        <v>0.16028881017226687</v>
      </c>
      <c r="W199" s="213">
        <f>AVERAGE(B193:B199)</f>
        <v>10963.571428571429</v>
      </c>
      <c r="X199" s="36">
        <f>AVERAGE(D193:D199)</f>
        <v>213.42857142857142</v>
      </c>
    </row>
    <row r="200" spans="1:24" ht="16.5" x14ac:dyDescent="0.25">
      <c r="A200" s="75">
        <v>44088</v>
      </c>
      <c r="B200" s="4">
        <v>9909</v>
      </c>
      <c r="C200" s="137">
        <f>C199+B200</f>
        <v>565446</v>
      </c>
      <c r="D200" s="4">
        <f>60+254</f>
        <v>314</v>
      </c>
      <c r="E200" s="7">
        <f>E199+D200</f>
        <v>11666</v>
      </c>
      <c r="F200" s="194">
        <v>438883</v>
      </c>
      <c r="G200" s="4">
        <v>2992</v>
      </c>
      <c r="H200" s="4">
        <v>21207</v>
      </c>
      <c r="I200" s="4">
        <f>I199+H200</f>
        <v>1602403</v>
      </c>
      <c r="J200" s="7">
        <f>L200-K200</f>
        <v>1385.3168000000296</v>
      </c>
      <c r="K200" s="7">
        <f>0.9984*L200</f>
        <v>864437.68319999997</v>
      </c>
      <c r="L200" s="4">
        <v>865823</v>
      </c>
      <c r="M200" s="4">
        <v>1236</v>
      </c>
      <c r="N200" s="4">
        <v>120192</v>
      </c>
      <c r="O200" s="4">
        <v>361677</v>
      </c>
      <c r="P200" s="4">
        <f>C200-O200-N200-M200</f>
        <v>82341</v>
      </c>
      <c r="Q200" s="29">
        <f>F200-F199</f>
        <v>9930</v>
      </c>
      <c r="R200" s="72">
        <f>G200/(C200-E200-F200)</f>
        <v>2.6040714727103405E-2</v>
      </c>
      <c r="S200" s="62">
        <f>E200/C190</f>
        <v>2.525753330937339E-2</v>
      </c>
      <c r="U200" s="146">
        <f>(C200-C193)/C193</f>
        <v>0.15868419920206062</v>
      </c>
      <c r="W200" s="213">
        <f>AVERAGE(B194:B200)</f>
        <v>11062.714285714286</v>
      </c>
      <c r="X200" s="36">
        <f>AVERAGE(D194:D200)</f>
        <v>220</v>
      </c>
    </row>
    <row r="201" spans="1:24" ht="16.5" x14ac:dyDescent="0.25">
      <c r="A201" s="75">
        <v>44089</v>
      </c>
      <c r="B201" s="4">
        <v>11892</v>
      </c>
      <c r="C201" s="137">
        <f>C200+B201</f>
        <v>577338</v>
      </c>
      <c r="D201" s="4">
        <f>43+142</f>
        <v>185</v>
      </c>
      <c r="E201" s="7">
        <f>E200+D201</f>
        <v>11851</v>
      </c>
      <c r="F201" s="194">
        <v>448263</v>
      </c>
      <c r="G201" s="4">
        <v>3049</v>
      </c>
      <c r="H201" s="4">
        <v>25791</v>
      </c>
      <c r="I201" s="4">
        <f>I200+H201</f>
        <v>1628194</v>
      </c>
      <c r="J201" s="7">
        <f>L201-K201</f>
        <v>1407.344000000041</v>
      </c>
      <c r="K201" s="7">
        <f>0.9984*L201</f>
        <v>878182.65599999996</v>
      </c>
      <c r="L201" s="4">
        <v>879590</v>
      </c>
      <c r="M201" s="4">
        <v>1242</v>
      </c>
      <c r="N201" s="4">
        <v>125970</v>
      </c>
      <c r="O201" s="4">
        <v>371507</v>
      </c>
      <c r="P201" s="4">
        <f>C201-O201-N201-M201</f>
        <v>78619</v>
      </c>
      <c r="Q201" s="29">
        <f>F201-F200</f>
        <v>9380</v>
      </c>
      <c r="R201" s="72">
        <f>G201/(C201-E201-F201)</f>
        <v>2.6010032075342932E-2</v>
      </c>
      <c r="S201" s="62">
        <f>E201/C191</f>
        <v>2.5118374925287089E-2</v>
      </c>
      <c r="U201" s="146">
        <f>(C201-C194)/C194</f>
        <v>0.15459748737085879</v>
      </c>
      <c r="W201" s="213">
        <f>AVERAGE(B195:B201)</f>
        <v>11043.428571428571</v>
      </c>
      <c r="X201" s="36">
        <f>AVERAGE(D195:D201)</f>
        <v>206.85714285714286</v>
      </c>
    </row>
    <row r="202" spans="1:24" x14ac:dyDescent="0.25">
      <c r="A202" s="75">
        <v>44090</v>
      </c>
      <c r="B202" s="7">
        <v>11674</v>
      </c>
      <c r="C202" s="137">
        <f>C201+B202</f>
        <v>589012</v>
      </c>
      <c r="D202" s="4">
        <f>58+206</f>
        <v>264</v>
      </c>
      <c r="E202" s="7">
        <f>E201+D202</f>
        <v>12115</v>
      </c>
      <c r="F202" s="194">
        <v>456347</v>
      </c>
      <c r="G202" s="4">
        <v>3118</v>
      </c>
      <c r="H202" s="4">
        <v>25422</v>
      </c>
      <c r="I202" s="4">
        <f>I201+H202</f>
        <v>1653616</v>
      </c>
      <c r="J202" s="7">
        <f>L202-K202</f>
        <v>1429.5023999999976</v>
      </c>
      <c r="K202" s="7">
        <f>0.9984*L202</f>
        <v>892009.4976</v>
      </c>
      <c r="L202" s="4">
        <v>893439</v>
      </c>
      <c r="M202" s="47">
        <v>1247</v>
      </c>
      <c r="N202" s="47">
        <v>128236</v>
      </c>
      <c r="O202" s="47">
        <v>380805</v>
      </c>
      <c r="P202" s="66">
        <f>C202-O202-N202-M202</f>
        <v>78724</v>
      </c>
      <c r="Q202" s="29">
        <f>F202-F201</f>
        <v>8084</v>
      </c>
      <c r="R202" s="155">
        <f>G202/(C202-E202-F202)</f>
        <v>2.5864786395686436E-2</v>
      </c>
      <c r="S202" s="156">
        <f>E202/C192</f>
        <v>2.530326321241792E-2</v>
      </c>
      <c r="T202" s="146"/>
      <c r="U202" s="146">
        <f>(C202-C195)/C195</f>
        <v>0.14975609660877662</v>
      </c>
      <c r="W202" s="213">
        <f>AVERAGE(B196:B202)</f>
        <v>10959.857142857143</v>
      </c>
      <c r="X202" s="36">
        <f>AVERAGE(D196:D202)</f>
        <v>208.28571428571428</v>
      </c>
    </row>
    <row r="203" spans="1:24" x14ac:dyDescent="0.25">
      <c r="A203" s="75">
        <v>44091</v>
      </c>
      <c r="B203" s="4">
        <v>12701</v>
      </c>
      <c r="C203" s="137">
        <f>C202+B203</f>
        <v>601713</v>
      </c>
      <c r="D203" s="4">
        <v>345</v>
      </c>
      <c r="E203" s="7">
        <f>E202+D203</f>
        <v>12460</v>
      </c>
      <c r="F203" s="194">
        <v>467286</v>
      </c>
      <c r="G203" s="4">
        <v>3108</v>
      </c>
      <c r="H203" s="4">
        <v>28633</v>
      </c>
      <c r="I203" s="4">
        <f>I202+H203</f>
        <v>1682249</v>
      </c>
      <c r="J203" s="7">
        <f>L203-K203</f>
        <v>1451.9024000000209</v>
      </c>
      <c r="K203" s="7">
        <f>0.9984*L203</f>
        <v>905987.09759999998</v>
      </c>
      <c r="L203" s="43">
        <v>907439</v>
      </c>
      <c r="M203" s="167">
        <v>1251</v>
      </c>
      <c r="N203" s="167">
        <v>130230</v>
      </c>
      <c r="O203" s="167">
        <v>390634</v>
      </c>
      <c r="P203" s="167">
        <f>C203-O203-N203-M203</f>
        <v>79598</v>
      </c>
      <c r="Q203" s="29">
        <f>F203-F202</f>
        <v>10939</v>
      </c>
      <c r="R203" s="185">
        <f>G203/(C203-E203-F203)</f>
        <v>2.5482302590044848E-2</v>
      </c>
      <c r="S203" s="186">
        <f>E203/C193</f>
        <v>2.5532420641507191E-2</v>
      </c>
      <c r="T203" s="146"/>
      <c r="U203" s="146">
        <f>(C203-C196)/C196</f>
        <v>0.14787351344339353</v>
      </c>
      <c r="W203" s="213">
        <f>AVERAGE(B197:B203)</f>
        <v>11073.571428571429</v>
      </c>
      <c r="X203" s="36">
        <f>AVERAGE(D197:D203)</f>
        <v>221.85714285714286</v>
      </c>
    </row>
    <row r="204" spans="1:24" x14ac:dyDescent="0.25">
      <c r="A204" s="75">
        <v>44092</v>
      </c>
      <c r="B204" s="4">
        <v>11945</v>
      </c>
      <c r="C204" s="137">
        <f>C203+B204</f>
        <v>613658</v>
      </c>
      <c r="D204" s="4">
        <f>31+166</f>
        <v>197</v>
      </c>
      <c r="E204" s="7">
        <f>E203+D204</f>
        <v>12657</v>
      </c>
      <c r="F204" s="194">
        <v>478077</v>
      </c>
      <c r="G204" s="4">
        <v>3225</v>
      </c>
      <c r="H204" s="4">
        <v>25698</v>
      </c>
      <c r="I204" s="4">
        <f>I203+H204</f>
        <v>1707947</v>
      </c>
      <c r="J204" s="7">
        <f>L204-K204</f>
        <v>1474.3456000000006</v>
      </c>
      <c r="K204" s="7">
        <f>0.9984*L204</f>
        <v>919991.6544</v>
      </c>
      <c r="L204" s="43">
        <v>921466</v>
      </c>
      <c r="M204" s="167">
        <v>1254</v>
      </c>
      <c r="N204" s="167">
        <v>132427</v>
      </c>
      <c r="O204" s="167">
        <v>400216</v>
      </c>
      <c r="P204" s="167">
        <f>C204-O204-N204-M204</f>
        <v>79761</v>
      </c>
      <c r="Q204" s="29">
        <f>F204-F203</f>
        <v>10791</v>
      </c>
      <c r="R204" s="185">
        <f>G204/(C204-E204-F204)</f>
        <v>2.6235722885685465E-2</v>
      </c>
      <c r="S204" s="186">
        <f>E204/C194</f>
        <v>2.5312278765043977E-2</v>
      </c>
      <c r="T204" s="146"/>
      <c r="U204" s="146">
        <f>(C204-C197)/C197</f>
        <v>0.14551478892300801</v>
      </c>
      <c r="W204" s="213">
        <f>AVERAGE(B198:B204)</f>
        <v>11136.142857142857</v>
      </c>
      <c r="X204" s="36">
        <f>AVERAGE(D198:D204)</f>
        <v>215.57142857142858</v>
      </c>
    </row>
    <row r="205" spans="1:24" x14ac:dyDescent="0.25">
      <c r="A205" s="75">
        <v>44093</v>
      </c>
      <c r="B205" s="4">
        <v>9276</v>
      </c>
      <c r="C205" s="7">
        <f>C204+B205</f>
        <v>622934</v>
      </c>
      <c r="D205" s="4">
        <f>49+94</f>
        <v>143</v>
      </c>
      <c r="E205" s="7">
        <f>E204+D205</f>
        <v>12800</v>
      </c>
      <c r="F205" s="194">
        <v>488231</v>
      </c>
      <c r="G205" s="4">
        <v>3213</v>
      </c>
      <c r="H205" s="4">
        <v>21093</v>
      </c>
      <c r="I205" s="4">
        <f>I204+H205</f>
        <v>1729040</v>
      </c>
      <c r="J205" s="7">
        <f>L205-K205</f>
        <v>1492.0336000000825</v>
      </c>
      <c r="K205" s="7">
        <f>0.9984*L205</f>
        <v>931028.96639999992</v>
      </c>
      <c r="L205" s="43">
        <v>932521</v>
      </c>
      <c r="M205" s="167">
        <v>1261</v>
      </c>
      <c r="N205" s="167">
        <v>133793</v>
      </c>
      <c r="O205" s="167">
        <v>406757</v>
      </c>
      <c r="P205" s="167">
        <f>C205-O205-N205-M205</f>
        <v>81123</v>
      </c>
      <c r="Q205" s="29">
        <f>F205-F204</f>
        <v>10154</v>
      </c>
      <c r="R205" s="185">
        <f>G205/(C205-E205-F205)</f>
        <v>2.6357021566327327E-2</v>
      </c>
      <c r="S205" s="186">
        <f>E205/C195</f>
        <v>2.4985701541891066E-2</v>
      </c>
      <c r="T205" s="146"/>
      <c r="U205" s="146">
        <f>(C205-C198)/C198</f>
        <v>0.13990056378904298</v>
      </c>
      <c r="W205" s="213">
        <f>AVERAGE(B199:B205)</f>
        <v>10921.857142857143</v>
      </c>
      <c r="X205" s="36">
        <f>AVERAGE(D199:D205)</f>
        <v>219.57142857142858</v>
      </c>
    </row>
    <row r="206" spans="1:24" x14ac:dyDescent="0.25">
      <c r="A206" s="75">
        <v>44094</v>
      </c>
      <c r="B206" s="4">
        <v>8431</v>
      </c>
      <c r="C206" s="7">
        <f>C205+B206</f>
        <v>631365</v>
      </c>
      <c r="D206" s="4">
        <f>110+143</f>
        <v>253</v>
      </c>
      <c r="E206" s="7">
        <f>E205+D206</f>
        <v>13053</v>
      </c>
      <c r="F206" s="194">
        <v>498379</v>
      </c>
      <c r="G206" s="4">
        <v>3261</v>
      </c>
      <c r="H206" s="4">
        <v>15454</v>
      </c>
      <c r="I206" s="4">
        <v>1744494</v>
      </c>
      <c r="J206" s="7">
        <v>1348</v>
      </c>
      <c r="K206" s="7">
        <v>939868</v>
      </c>
      <c r="L206" s="153">
        <f>K206+J206</f>
        <v>941216</v>
      </c>
      <c r="M206" s="167">
        <v>1262</v>
      </c>
      <c r="N206" s="167">
        <v>134820</v>
      </c>
      <c r="O206" s="167">
        <v>412203</v>
      </c>
      <c r="P206" s="167">
        <f>C206-O206-N206-M206</f>
        <v>83080</v>
      </c>
      <c r="Q206" s="29">
        <f>F206-F205</f>
        <v>10148</v>
      </c>
      <c r="R206" s="185">
        <f>G206/(C206-E206-F206)</f>
        <v>2.7190181184494677E-2</v>
      </c>
      <c r="S206" s="186">
        <f>E206/C196</f>
        <v>2.4900896226235127E-2</v>
      </c>
      <c r="T206" s="146"/>
      <c r="U206" s="146">
        <f>(C206-C199)/C199</f>
        <v>0.13649495893162833</v>
      </c>
      <c r="W206" s="213">
        <f>AVERAGE(B200:B206)</f>
        <v>10832.571428571429</v>
      </c>
      <c r="X206" s="36">
        <f>AVERAGE(D200:D206)</f>
        <v>243</v>
      </c>
    </row>
    <row r="207" spans="1:24" x14ac:dyDescent="0.25">
      <c r="A207" s="75">
        <v>44095</v>
      </c>
      <c r="B207" s="4">
        <v>8782</v>
      </c>
      <c r="C207" s="7">
        <f>C206+B207</f>
        <v>640147</v>
      </c>
      <c r="D207" s="4">
        <v>427</v>
      </c>
      <c r="E207" s="7">
        <f>E206+D207</f>
        <v>13480</v>
      </c>
      <c r="F207" s="194">
        <v>508563</v>
      </c>
      <c r="G207" s="4">
        <v>3387</v>
      </c>
      <c r="H207" s="4">
        <v>18575</v>
      </c>
      <c r="I207" s="4">
        <f>I206+H207</f>
        <v>1763069</v>
      </c>
      <c r="J207" s="7">
        <v>1383</v>
      </c>
      <c r="K207" s="7">
        <v>949102</v>
      </c>
      <c r="L207" s="153">
        <f>K207+J207</f>
        <v>950485</v>
      </c>
      <c r="M207" s="187">
        <v>6401</v>
      </c>
      <c r="N207" s="187">
        <v>138272</v>
      </c>
      <c r="O207" s="204">
        <v>417376</v>
      </c>
      <c r="P207" s="167">
        <f>C207-O207-N207-M207</f>
        <v>78098</v>
      </c>
      <c r="Q207" s="29">
        <f>F207-F206</f>
        <v>10184</v>
      </c>
      <c r="R207" s="185">
        <f>G207/(C207-E207-F207)</f>
        <v>2.8678114204429995E-2</v>
      </c>
      <c r="S207" s="186">
        <f>E207/C197</f>
        <v>2.5163102827115671E-2</v>
      </c>
      <c r="T207" s="146"/>
      <c r="U207" s="146">
        <f>(C207-C200)/C200</f>
        <v>0.1321098743292905</v>
      </c>
      <c r="W207" s="213">
        <f>AVERAGE(B201:B207)</f>
        <v>10671.571428571429</v>
      </c>
      <c r="X207" s="36">
        <f>AVERAGE(D201:D207)</f>
        <v>259.14285714285717</v>
      </c>
    </row>
    <row r="208" spans="1:24" x14ac:dyDescent="0.25">
      <c r="A208" s="75">
        <v>44096</v>
      </c>
      <c r="B208" s="4">
        <v>12027</v>
      </c>
      <c r="C208" s="7">
        <f>C207+B208</f>
        <v>652174</v>
      </c>
      <c r="D208" s="4">
        <v>469</v>
      </c>
      <c r="E208" s="7">
        <f>E207+D208</f>
        <v>13949</v>
      </c>
      <c r="F208" s="194">
        <v>517228</v>
      </c>
      <c r="G208" s="4">
        <v>3362</v>
      </c>
      <c r="H208" s="4">
        <v>25766</v>
      </c>
      <c r="I208" s="4">
        <f>I207+H208</f>
        <v>1788835</v>
      </c>
      <c r="J208" s="7">
        <v>1448</v>
      </c>
      <c r="K208" s="7">
        <v>961776</v>
      </c>
      <c r="L208" s="153">
        <f>K208+J208</f>
        <v>963224</v>
      </c>
      <c r="M208" s="188">
        <v>6521</v>
      </c>
      <c r="N208" s="188">
        <v>140870</v>
      </c>
      <c r="O208" s="188">
        <v>425218</v>
      </c>
      <c r="P208" s="167">
        <f>C208-O208-N208-M208</f>
        <v>79565</v>
      </c>
      <c r="Q208" s="29">
        <f>F208-F207</f>
        <v>8665</v>
      </c>
      <c r="R208" s="185">
        <f>G208/(C208-E208-F208)</f>
        <v>2.7785812871393506E-2</v>
      </c>
      <c r="S208" s="186">
        <f>E208/C198</f>
        <v>2.5525132621262221E-2</v>
      </c>
      <c r="T208" s="146"/>
      <c r="U208" s="146">
        <f>(C208-C201)/C201</f>
        <v>0.12962250882498641</v>
      </c>
      <c r="W208" s="213">
        <f>AVERAGE(B202:B208)</f>
        <v>10690.857142857143</v>
      </c>
      <c r="X208" s="36">
        <f>AVERAGE(D202:D208)</f>
        <v>299.71428571428572</v>
      </c>
    </row>
    <row r="209" spans="1:24" x14ac:dyDescent="0.25">
      <c r="A209" s="75">
        <v>44097</v>
      </c>
      <c r="B209" s="4">
        <v>12625</v>
      </c>
      <c r="C209" s="7">
        <f>C208+B209</f>
        <v>664799</v>
      </c>
      <c r="D209" s="4">
        <v>423</v>
      </c>
      <c r="E209" s="7">
        <f>E208+D209</f>
        <v>14372</v>
      </c>
      <c r="F209" s="194">
        <v>525486</v>
      </c>
      <c r="G209" s="4">
        <v>3511</v>
      </c>
      <c r="H209" s="4">
        <v>24903</v>
      </c>
      <c r="I209" s="4">
        <f>I208+H209</f>
        <v>1813738</v>
      </c>
      <c r="J209" s="7">
        <v>1456</v>
      </c>
      <c r="K209" s="7">
        <v>974788</v>
      </c>
      <c r="L209" s="153">
        <f>K209+J209</f>
        <v>976244</v>
      </c>
      <c r="M209" s="188">
        <v>6647</v>
      </c>
      <c r="N209" s="188">
        <v>143597</v>
      </c>
      <c r="O209" s="188">
        <v>433450</v>
      </c>
      <c r="P209" s="167">
        <f>C209-O209-N209-M209</f>
        <v>81105</v>
      </c>
      <c r="Q209" s="29">
        <f>F209-F208</f>
        <v>8258</v>
      </c>
      <c r="R209" s="185">
        <f>G209/(C209-E209-F209)</f>
        <v>2.8101263796511955E-2</v>
      </c>
      <c r="S209" s="186">
        <f>E209/C199</f>
        <v>2.5870464073500056E-2</v>
      </c>
      <c r="T209" s="146"/>
      <c r="U209" s="146">
        <f>(C209-C202)/C202</f>
        <v>0.128668006763869</v>
      </c>
      <c r="W209" s="213">
        <f>AVERAGE(B203:B209)</f>
        <v>10826.714285714286</v>
      </c>
      <c r="X209" s="36">
        <f>AVERAGE(D203:D209)</f>
        <v>322.42857142857144</v>
      </c>
    </row>
    <row r="210" spans="1:24" x14ac:dyDescent="0.25">
      <c r="A210" s="75">
        <v>44098</v>
      </c>
      <c r="B210" s="150">
        <v>13467</v>
      </c>
      <c r="C210" s="151">
        <f>C209+B210</f>
        <v>678266</v>
      </c>
      <c r="D210" s="4">
        <v>391</v>
      </c>
      <c r="E210" s="7">
        <f>E209+D210</f>
        <v>14763</v>
      </c>
      <c r="F210" s="194">
        <v>536589</v>
      </c>
      <c r="G210" s="4">
        <v>3527</v>
      </c>
      <c r="H210" s="4">
        <v>27253</v>
      </c>
      <c r="I210" s="4">
        <f>I209+H210</f>
        <v>1840991</v>
      </c>
      <c r="J210" s="7">
        <v>1488</v>
      </c>
      <c r="K210" s="7">
        <v>988976</v>
      </c>
      <c r="L210" s="43">
        <f>K210+J210</f>
        <v>990464</v>
      </c>
      <c r="M210" s="188">
        <v>6740</v>
      </c>
      <c r="N210" s="188">
        <v>143045</v>
      </c>
      <c r="O210" s="188">
        <v>449054</v>
      </c>
      <c r="P210" s="167">
        <f>C210-O210-N210-M210</f>
        <v>79427</v>
      </c>
      <c r="Q210" s="29">
        <f>F210-F209</f>
        <v>11103</v>
      </c>
      <c r="R210" s="185">
        <f>G210/(C210-E210-F210)</f>
        <v>2.7790472288321225E-2</v>
      </c>
      <c r="S210" s="186">
        <f>E210/C200</f>
        <v>2.6108593924088243E-2</v>
      </c>
      <c r="T210" s="146"/>
      <c r="U210" s="146">
        <f>(C210-C203)/C203</f>
        <v>0.12722510565668349</v>
      </c>
      <c r="W210" s="213">
        <f>AVERAGE(B204:B210)</f>
        <v>10936.142857142857</v>
      </c>
      <c r="X210" s="36">
        <f>AVERAGE(D204:D210)</f>
        <v>329</v>
      </c>
    </row>
    <row r="211" spans="1:24" x14ac:dyDescent="0.25">
      <c r="A211" s="75">
        <v>44099</v>
      </c>
      <c r="B211" s="4">
        <v>12969</v>
      </c>
      <c r="C211" s="7">
        <f>C210+B211</f>
        <v>691235</v>
      </c>
      <c r="D211" s="4">
        <v>442</v>
      </c>
      <c r="E211" s="7">
        <f>E210+D211</f>
        <v>15205</v>
      </c>
      <c r="F211" s="194">
        <v>546924</v>
      </c>
      <c r="G211" s="4">
        <v>3595</v>
      </c>
      <c r="H211" s="4">
        <v>25098</v>
      </c>
      <c r="I211" s="4">
        <f>I210+H211</f>
        <v>1866089</v>
      </c>
      <c r="J211" s="7">
        <v>1500</v>
      </c>
      <c r="K211" s="7">
        <v>1001959</v>
      </c>
      <c r="L211" s="43">
        <f>K211+J211</f>
        <v>1003459</v>
      </c>
      <c r="M211" s="188">
        <v>6798</v>
      </c>
      <c r="N211" s="188">
        <v>145075</v>
      </c>
      <c r="O211" s="188">
        <v>458440</v>
      </c>
      <c r="P211" s="167">
        <f>C211-O211-N211-M211</f>
        <v>80922</v>
      </c>
      <c r="Q211" s="29">
        <f>F211-F210</f>
        <v>10335</v>
      </c>
      <c r="R211" s="185">
        <f>G211/(C211-E211-F211)</f>
        <v>2.7845336390252971E-2</v>
      </c>
      <c r="S211" s="186">
        <f>E211/C201</f>
        <v>2.633639220006305E-2</v>
      </c>
      <c r="T211" s="146"/>
      <c r="U211" s="146">
        <f>(C211-C204)/C204</f>
        <v>0.12641732039670306</v>
      </c>
      <c r="W211" s="213">
        <f>AVERAGE(B205:B211)</f>
        <v>11082.428571428571</v>
      </c>
      <c r="X211" s="36">
        <f>AVERAGE(D205:D211)</f>
        <v>364</v>
      </c>
    </row>
    <row r="212" spans="1:24" x14ac:dyDescent="0.25">
      <c r="A212" s="75">
        <v>44100</v>
      </c>
      <c r="B212" s="4">
        <v>11249</v>
      </c>
      <c r="C212" s="7">
        <f>C211+B212</f>
        <v>702484</v>
      </c>
      <c r="D212" s="4">
        <v>337</v>
      </c>
      <c r="E212" s="7">
        <f>E211+D212</f>
        <v>15542</v>
      </c>
      <c r="F212" s="194">
        <v>556489</v>
      </c>
      <c r="G212" s="4">
        <v>3633</v>
      </c>
      <c r="H212" s="4">
        <v>22101</v>
      </c>
      <c r="I212" s="4">
        <f>I211+H212</f>
        <v>1888190</v>
      </c>
      <c r="J212" s="7">
        <v>1537</v>
      </c>
      <c r="K212" s="66">
        <v>1014163</v>
      </c>
      <c r="L212" s="43">
        <f>K212+J212</f>
        <v>1015700</v>
      </c>
      <c r="M212" s="188">
        <v>6835</v>
      </c>
      <c r="N212" s="188">
        <v>146416</v>
      </c>
      <c r="O212" s="188">
        <v>464913</v>
      </c>
      <c r="P212" s="167">
        <f>C212-O212-N212-M212</f>
        <v>84320</v>
      </c>
      <c r="Q212" s="29">
        <f>F212-F211</f>
        <v>9565</v>
      </c>
      <c r="R212" s="185">
        <f>G212/(C212-E212-F212)</f>
        <v>2.7849110407579741E-2</v>
      </c>
      <c r="S212" s="186">
        <f>E212/C202</f>
        <v>2.6386559187249158E-2</v>
      </c>
      <c r="T212" s="146"/>
      <c r="U212" s="146">
        <f>(C212-C205)/C205</f>
        <v>0.12770213216809487</v>
      </c>
      <c r="W212" s="213">
        <f>AVERAGE(B206:B212)</f>
        <v>11364.285714285714</v>
      </c>
      <c r="X212" s="36">
        <f>AVERAGE(D206:D212)</f>
        <v>391.71428571428572</v>
      </c>
    </row>
    <row r="213" spans="1:24" x14ac:dyDescent="0.25">
      <c r="A213" s="75">
        <v>44101</v>
      </c>
      <c r="B213" s="4">
        <v>8841</v>
      </c>
      <c r="C213" s="7">
        <f>C212+B213</f>
        <v>711325</v>
      </c>
      <c r="D213" s="4">
        <v>206</v>
      </c>
      <c r="E213" s="7">
        <f>E212+D213</f>
        <v>15748</v>
      </c>
      <c r="F213" s="194">
        <v>565935</v>
      </c>
      <c r="G213" s="4">
        <v>3604</v>
      </c>
      <c r="H213" s="4">
        <v>15171</v>
      </c>
      <c r="I213" s="4">
        <f>I212+H213</f>
        <v>1903361</v>
      </c>
      <c r="J213" s="153">
        <v>1567</v>
      </c>
      <c r="K213" s="7">
        <v>1021244</v>
      </c>
      <c r="L213" s="182">
        <f>K213+J213</f>
        <v>1022811</v>
      </c>
      <c r="M213" s="188">
        <v>6874</v>
      </c>
      <c r="N213" s="188">
        <v>147538</v>
      </c>
      <c r="O213" s="188">
        <v>469799</v>
      </c>
      <c r="P213" s="167">
        <f>C213-O213-N213-M213</f>
        <v>87114</v>
      </c>
      <c r="Q213" s="29">
        <f>F213-F212</f>
        <v>9446</v>
      </c>
      <c r="R213" s="185">
        <f>G213/(C213-E213-F213)</f>
        <v>2.779963283503803E-2</v>
      </c>
      <c r="S213" s="186">
        <f>E213/C203</f>
        <v>2.6171945761517535E-2</v>
      </c>
      <c r="T213" s="146"/>
      <c r="U213" s="146">
        <f>(C213-C206)/C206</f>
        <v>0.12664623474535333</v>
      </c>
      <c r="W213" s="213">
        <f>AVERAGE(B207:B213)</f>
        <v>11422.857142857143</v>
      </c>
      <c r="X213" s="36">
        <f>AVERAGE(D207:D213)</f>
        <v>385</v>
      </c>
    </row>
    <row r="214" spans="1:24" x14ac:dyDescent="0.25">
      <c r="A214" s="75">
        <v>44102</v>
      </c>
      <c r="B214" s="4">
        <v>11807</v>
      </c>
      <c r="C214" s="7">
        <f>C213+B214</f>
        <v>723132</v>
      </c>
      <c r="D214" s="4">
        <v>365</v>
      </c>
      <c r="E214" s="7">
        <f>E213+D214</f>
        <v>16113</v>
      </c>
      <c r="F214" s="194">
        <v>576715</v>
      </c>
      <c r="G214" s="167">
        <v>3678</v>
      </c>
      <c r="H214" s="4">
        <v>21356</v>
      </c>
      <c r="I214" s="4">
        <f>I213+H214</f>
        <v>1924717</v>
      </c>
      <c r="J214" s="153">
        <v>1611</v>
      </c>
      <c r="K214" s="7">
        <v>1031143</v>
      </c>
      <c r="L214" s="182">
        <f>K214+J214</f>
        <v>1032754</v>
      </c>
      <c r="M214" s="188">
        <v>6984</v>
      </c>
      <c r="N214" s="188">
        <v>149538</v>
      </c>
      <c r="O214" s="188">
        <v>478119</v>
      </c>
      <c r="P214" s="167">
        <f>C214-O214-N214-M214</f>
        <v>88491</v>
      </c>
      <c r="Q214" s="29">
        <f>F214-F213</f>
        <v>10780</v>
      </c>
      <c r="R214" s="185">
        <f>G214/(C214-E214-F214)</f>
        <v>2.8226301571709234E-2</v>
      </c>
      <c r="S214" s="186">
        <f>E214/C204</f>
        <v>2.6257296409400676E-2</v>
      </c>
      <c r="T214" s="146"/>
      <c r="U214" s="146">
        <f>(C214-C207)/C207</f>
        <v>0.12963428712467606</v>
      </c>
      <c r="W214" s="213">
        <f>AVERAGE(B208:B214)</f>
        <v>11855</v>
      </c>
      <c r="X214" s="36">
        <f>AVERAGE(D208:D214)</f>
        <v>376.14285714285717</v>
      </c>
    </row>
    <row r="215" spans="1:24" x14ac:dyDescent="0.25">
      <c r="A215" s="75">
        <v>44103</v>
      </c>
      <c r="B215" s="152">
        <v>13477</v>
      </c>
      <c r="C215" s="7">
        <f>C214+B215</f>
        <v>736609</v>
      </c>
      <c r="D215" s="4">
        <v>405</v>
      </c>
      <c r="E215" s="7">
        <f>E214+D215</f>
        <v>16518</v>
      </c>
      <c r="F215" s="194">
        <v>585857</v>
      </c>
      <c r="G215" s="167">
        <v>3768</v>
      </c>
      <c r="H215" s="4">
        <v>25072</v>
      </c>
      <c r="I215" s="4">
        <f>I214+H215</f>
        <v>1949789</v>
      </c>
      <c r="J215" s="7">
        <v>1774</v>
      </c>
      <c r="K215" s="7">
        <v>1043210</v>
      </c>
      <c r="L215" s="43">
        <f>K215+J215</f>
        <v>1044984</v>
      </c>
      <c r="M215" s="188">
        <v>7083</v>
      </c>
      <c r="N215" s="188">
        <v>151787</v>
      </c>
      <c r="O215" s="188">
        <v>487971</v>
      </c>
      <c r="P215" s="167">
        <f>C215-O215-N215-M215</f>
        <v>89768</v>
      </c>
      <c r="Q215" s="29">
        <f>F215-F214</f>
        <v>9142</v>
      </c>
      <c r="R215" s="185">
        <f>G215/(C215-E215-F215)</f>
        <v>2.8070384552348882E-2</v>
      </c>
      <c r="S215" s="62" t="e">
        <f>E215/#REF!</f>
        <v>#REF!</v>
      </c>
      <c r="U215" s="146">
        <f>(C215-C208)/C208</f>
        <v>0.12946698273773563</v>
      </c>
      <c r="W215" s="213">
        <f>AVERAGE(B209:B215)</f>
        <v>12062.142857142857</v>
      </c>
      <c r="X215" s="246">
        <f>AVERAGE(D209:D215)</f>
        <v>367</v>
      </c>
    </row>
    <row r="216" spans="1:24" x14ac:dyDescent="0.25">
      <c r="A216" s="87">
        <v>44104</v>
      </c>
      <c r="B216" s="199">
        <v>14392</v>
      </c>
      <c r="C216" s="66">
        <f>C215+B216</f>
        <v>751001</v>
      </c>
      <c r="D216" s="47">
        <v>418</v>
      </c>
      <c r="E216" s="66">
        <f>E215+D216</f>
        <v>16936</v>
      </c>
      <c r="F216" s="194">
        <v>594645</v>
      </c>
      <c r="G216" s="167">
        <v>3792</v>
      </c>
      <c r="H216" s="47">
        <v>26524</v>
      </c>
      <c r="I216" s="47">
        <f>I215+H216</f>
        <v>1976313</v>
      </c>
      <c r="J216" s="66">
        <v>2013</v>
      </c>
      <c r="K216" s="226">
        <v>1055774</v>
      </c>
      <c r="L216" s="183">
        <f>K216+J216</f>
        <v>1057787</v>
      </c>
      <c r="M216" s="188">
        <v>7162</v>
      </c>
      <c r="N216" s="188">
        <v>153949</v>
      </c>
      <c r="O216" s="188">
        <v>498519</v>
      </c>
      <c r="P216" s="167">
        <f>C216-O216-N216-M216</f>
        <v>91371</v>
      </c>
      <c r="Q216" s="29">
        <f>F216-F215</f>
        <v>8788</v>
      </c>
      <c r="R216" s="185">
        <f>G216/(C216-E216-F216)</f>
        <v>2.7198393343853107E-2</v>
      </c>
      <c r="S216" s="62" t="e">
        <f>E216/#REF!</f>
        <v>#REF!</v>
      </c>
      <c r="U216" s="146">
        <f>(C216-C209)/C209</f>
        <v>0.12966626002746695</v>
      </c>
      <c r="W216" s="213">
        <f>AVERAGE(B210:B216)</f>
        <v>12314.571428571429</v>
      </c>
      <c r="X216" s="246">
        <f>AVERAGE(D210:D216)</f>
        <v>366.28571428571428</v>
      </c>
    </row>
    <row r="217" spans="1:24" x14ac:dyDescent="0.25">
      <c r="A217" s="75">
        <v>44105</v>
      </c>
      <c r="B217" s="4">
        <v>14001</v>
      </c>
      <c r="C217" s="7">
        <f>C216+B217</f>
        <v>765002</v>
      </c>
      <c r="D217" s="149">
        <v>3352</v>
      </c>
      <c r="E217" s="7">
        <f>E216+D217</f>
        <v>20288</v>
      </c>
      <c r="F217" s="194">
        <v>603140</v>
      </c>
      <c r="G217" s="169">
        <v>3799</v>
      </c>
      <c r="H217" s="4">
        <v>26662</v>
      </c>
      <c r="I217" s="4">
        <f>I216+H217</f>
        <v>2002975</v>
      </c>
      <c r="J217" s="7">
        <v>1482</v>
      </c>
      <c r="K217" s="9">
        <v>1068705</v>
      </c>
      <c r="L217" s="43">
        <f>K217+J217</f>
        <v>1070187</v>
      </c>
      <c r="M217" s="188">
        <v>7226</v>
      </c>
      <c r="N217" s="188">
        <v>155848</v>
      </c>
      <c r="O217" s="188">
        <v>508945</v>
      </c>
      <c r="P217" s="167">
        <f>C217-O217-N217-M217</f>
        <v>92983</v>
      </c>
      <c r="Q217" s="29">
        <f>F217-F216</f>
        <v>8495</v>
      </c>
      <c r="R217" s="185">
        <f>G217/(C217-E217-F217)</f>
        <v>2.6834023196349612E-2</v>
      </c>
      <c r="S217" s="62" t="e">
        <f>E217/#REF!</f>
        <v>#REF!</v>
      </c>
      <c r="U217" s="146" t="e">
        <f>(C217-#REF!)/#REF!</f>
        <v>#REF!</v>
      </c>
      <c r="W217" s="213">
        <f>AVERAGE(B216:B217)</f>
        <v>14196.5</v>
      </c>
      <c r="X217" s="36">
        <f>AVERAGE(D216:D217)</f>
        <v>1885</v>
      </c>
    </row>
    <row r="218" spans="1:24" x14ac:dyDescent="0.25">
      <c r="A218" s="75">
        <v>44106</v>
      </c>
      <c r="B218" s="150">
        <v>14687</v>
      </c>
      <c r="C218" s="7">
        <f>C217+B218</f>
        <v>779689</v>
      </c>
      <c r="D218" s="4">
        <v>309</v>
      </c>
      <c r="E218" s="7">
        <f>E217+D218</f>
        <v>20597</v>
      </c>
      <c r="F218" s="194">
        <v>614515</v>
      </c>
      <c r="G218" s="169">
        <v>3828</v>
      </c>
      <c r="H218" s="4">
        <v>27537</v>
      </c>
      <c r="I218" s="4">
        <f>I217+H218</f>
        <v>2030512</v>
      </c>
      <c r="J218" s="7">
        <v>1492</v>
      </c>
      <c r="K218" s="9">
        <v>1082729</v>
      </c>
      <c r="L218" s="43">
        <f>K218+J218</f>
        <v>1084221</v>
      </c>
      <c r="M218" s="188">
        <v>7323</v>
      </c>
      <c r="N218" s="188">
        <v>158001</v>
      </c>
      <c r="O218" s="188">
        <v>520163</v>
      </c>
      <c r="P218" s="167">
        <f>C218-O218-N218-M218</f>
        <v>94202</v>
      </c>
      <c r="Q218" s="29">
        <f>F218-F217</f>
        <v>11375</v>
      </c>
      <c r="R218" s="185">
        <f>G218/(C218-E218-F218)</f>
        <v>2.6477240501601221E-2</v>
      </c>
      <c r="S218" s="62" t="e">
        <f>E218/#REF!</f>
        <v>#REF!</v>
      </c>
      <c r="U218" s="146" t="e">
        <f>(C218-#REF!)/#REF!</f>
        <v>#REF!</v>
      </c>
      <c r="W218" s="213">
        <f>AVERAGE(B216:B218)</f>
        <v>14360</v>
      </c>
      <c r="X218" s="36">
        <f>AVERAGE(D216:D218)</f>
        <v>1359.6666666666667</v>
      </c>
    </row>
    <row r="219" spans="1:24" x14ac:dyDescent="0.25">
      <c r="A219" s="75">
        <v>44107</v>
      </c>
      <c r="B219" s="4">
        <v>11129</v>
      </c>
      <c r="C219" s="7">
        <f>C218+B219</f>
        <v>790818</v>
      </c>
      <c r="D219" s="4">
        <v>195</v>
      </c>
      <c r="E219" s="7">
        <f>E218+D219</f>
        <v>20792</v>
      </c>
      <c r="F219" s="194">
        <v>626114</v>
      </c>
      <c r="G219" s="169">
        <v>3820</v>
      </c>
      <c r="H219" s="4">
        <v>20525</v>
      </c>
      <c r="I219" s="4">
        <f>I218+H219</f>
        <v>2051037</v>
      </c>
      <c r="J219" s="7">
        <v>1499</v>
      </c>
      <c r="K219" s="7">
        <v>1095695</v>
      </c>
      <c r="L219" s="43">
        <f>K219+J219</f>
        <v>1097194</v>
      </c>
      <c r="M219" s="188">
        <v>7387</v>
      </c>
      <c r="N219" s="188">
        <v>159347</v>
      </c>
      <c r="O219" s="188">
        <v>527803</v>
      </c>
      <c r="P219" s="167">
        <f>C219-O219-N219-M219</f>
        <v>96281</v>
      </c>
      <c r="Q219" s="29">
        <f>F219-F218</f>
        <v>11599</v>
      </c>
      <c r="R219" s="185">
        <f>G219/(C219-E219-F219)</f>
        <v>2.6543999110567568E-2</v>
      </c>
      <c r="S219" s="62" t="e">
        <f>E219/#REF!</f>
        <v>#REF!</v>
      </c>
      <c r="U219" s="146">
        <f>(C219-C212)/C212</f>
        <v>0.12574521270235337</v>
      </c>
      <c r="W219" s="213">
        <f>AVERAGE(B213:B219)</f>
        <v>12619.142857142857</v>
      </c>
      <c r="X219" s="36">
        <f>AVERAGE(D213:D219)</f>
        <v>750</v>
      </c>
    </row>
    <row r="220" spans="1:24" x14ac:dyDescent="0.25">
      <c r="A220" s="75">
        <v>44108</v>
      </c>
      <c r="B220" s="4">
        <v>7668</v>
      </c>
      <c r="C220" s="7">
        <f>C219+B220</f>
        <v>798486</v>
      </c>
      <c r="D220" s="4">
        <v>222</v>
      </c>
      <c r="E220" s="7">
        <f>E219+D220</f>
        <v>21014</v>
      </c>
      <c r="F220" s="194">
        <v>636672</v>
      </c>
      <c r="G220" s="169">
        <v>3950</v>
      </c>
      <c r="H220" s="4">
        <v>13213</v>
      </c>
      <c r="I220" s="4">
        <f>I219+H220</f>
        <v>2064250</v>
      </c>
      <c r="J220" s="7">
        <v>1504</v>
      </c>
      <c r="K220" s="7">
        <v>1103068</v>
      </c>
      <c r="L220" s="43">
        <f>K220+J220</f>
        <v>1104572</v>
      </c>
      <c r="M220" s="188">
        <v>7425</v>
      </c>
      <c r="N220" s="188">
        <v>160401</v>
      </c>
      <c r="O220" s="188">
        <v>533573</v>
      </c>
      <c r="P220" s="167">
        <f>C220-O220-N220-M220</f>
        <v>97087</v>
      </c>
      <c r="Q220" s="29">
        <f>F220-F219</f>
        <v>10558</v>
      </c>
      <c r="R220" s="185">
        <f>G220/(C220-E220-F220)</f>
        <v>2.8053977272727272E-2</v>
      </c>
      <c r="S220" s="62" t="e">
        <f>E220/#REF!</f>
        <v>#REF!</v>
      </c>
      <c r="U220" s="146" t="e">
        <f>(C220-#REF!)/#REF!</f>
        <v>#REF!</v>
      </c>
      <c r="W220" s="213">
        <f>AVERAGE(B214:B220)</f>
        <v>12451.571428571429</v>
      </c>
      <c r="X220" s="36">
        <f>AVERAGE(D214:D220)</f>
        <v>752.28571428571433</v>
      </c>
    </row>
    <row r="221" spans="1:24" x14ac:dyDescent="0.25">
      <c r="A221" s="75">
        <v>44109</v>
      </c>
      <c r="B221" s="161">
        <v>11242</v>
      </c>
      <c r="C221" s="7">
        <f>C220+B221</f>
        <v>809728</v>
      </c>
      <c r="D221" s="4">
        <v>451</v>
      </c>
      <c r="E221" s="7">
        <f>E220+D221</f>
        <v>21465</v>
      </c>
      <c r="F221" s="194">
        <v>649017</v>
      </c>
      <c r="G221" s="169">
        <v>3978</v>
      </c>
      <c r="H221" s="4">
        <v>20263</v>
      </c>
      <c r="I221" s="4">
        <f>I220+H221</f>
        <v>2084513</v>
      </c>
      <c r="J221" s="7">
        <v>1508</v>
      </c>
      <c r="K221" s="7">
        <v>1113469</v>
      </c>
      <c r="L221" s="43">
        <f>K221+J221</f>
        <v>1114977</v>
      </c>
      <c r="M221" s="188">
        <v>7503</v>
      </c>
      <c r="N221" s="188">
        <v>162682</v>
      </c>
      <c r="O221" s="188">
        <v>544916</v>
      </c>
      <c r="P221" s="167">
        <f>C221-O221-N221-M221</f>
        <v>94627</v>
      </c>
      <c r="Q221" s="29">
        <f>F221-F220</f>
        <v>12345</v>
      </c>
      <c r="R221" s="185">
        <f>G221/(C221-E221-F221)</f>
        <v>2.856814558407423E-2</v>
      </c>
      <c r="S221" s="62" t="e">
        <f>E221/#REF!</f>
        <v>#REF!</v>
      </c>
      <c r="U221" s="146" t="e">
        <f>(C221-#REF!)/#REF!</f>
        <v>#REF!</v>
      </c>
      <c r="W221" s="213">
        <f>AVERAGE(B218:B221)</f>
        <v>11181.5</v>
      </c>
      <c r="X221" s="36">
        <f>AVERAGE(D218:D221)</f>
        <v>294.25</v>
      </c>
    </row>
    <row r="222" spans="1:24" x14ac:dyDescent="0.25">
      <c r="A222" s="87">
        <v>44110</v>
      </c>
      <c r="B222" s="232">
        <v>14740</v>
      </c>
      <c r="C222" s="7">
        <f>C221+B222</f>
        <v>824468</v>
      </c>
      <c r="D222" s="47">
        <v>359</v>
      </c>
      <c r="E222" s="66">
        <f>E221+D222</f>
        <v>21824</v>
      </c>
      <c r="F222" s="194">
        <v>660272</v>
      </c>
      <c r="G222" s="169">
        <v>4007</v>
      </c>
      <c r="H222" s="47">
        <v>26481</v>
      </c>
      <c r="I222" s="47">
        <f>I221+H222</f>
        <v>2110994</v>
      </c>
      <c r="J222" s="66">
        <v>1528</v>
      </c>
      <c r="K222" s="66">
        <v>1127417</v>
      </c>
      <c r="L222" s="183">
        <f>K222+J222</f>
        <v>1128945</v>
      </c>
      <c r="M222" s="188">
        <v>7581</v>
      </c>
      <c r="N222" s="188">
        <v>165737</v>
      </c>
      <c r="O222" s="188">
        <v>556132</v>
      </c>
      <c r="P222" s="167">
        <f>C222-O222-N222-M222</f>
        <v>95018</v>
      </c>
      <c r="Q222" s="29">
        <f>F222-F221</f>
        <v>11255</v>
      </c>
      <c r="R222" s="185">
        <f>G222/(C222-E222-F222)</f>
        <v>2.8144578990250892E-2</v>
      </c>
      <c r="S222" s="62" t="e">
        <f>E222/#REF!</f>
        <v>#REF!</v>
      </c>
      <c r="U222" s="146" t="e">
        <f>(C222-#REF!)/#REF!</f>
        <v>#REF!</v>
      </c>
      <c r="W222" s="213">
        <f>AVERAGE(B218:B222)</f>
        <v>11893.2</v>
      </c>
      <c r="X222" s="36">
        <f>AVERAGE(D218:D222)</f>
        <v>307.2</v>
      </c>
    </row>
    <row r="223" spans="1:24" x14ac:dyDescent="0.25">
      <c r="A223" s="228">
        <v>44111</v>
      </c>
      <c r="B223" s="231">
        <v>16447</v>
      </c>
      <c r="C223" s="7">
        <f>C222+B223</f>
        <v>840915</v>
      </c>
      <c r="D223" s="167">
        <v>401</v>
      </c>
      <c r="E223" s="168">
        <f>E222+D223</f>
        <v>22225</v>
      </c>
      <c r="F223" s="194">
        <v>670725</v>
      </c>
      <c r="G223" s="169">
        <v>3997</v>
      </c>
      <c r="H223" s="238">
        <v>29441</v>
      </c>
      <c r="I223" s="167">
        <f>I222+H223</f>
        <v>2140435</v>
      </c>
      <c r="J223" s="168">
        <v>1542</v>
      </c>
      <c r="K223" s="168">
        <v>1142661</v>
      </c>
      <c r="L223" s="184">
        <f>K223+J223</f>
        <v>1144203</v>
      </c>
      <c r="M223" s="188">
        <v>7669</v>
      </c>
      <c r="N223" s="188">
        <v>168593</v>
      </c>
      <c r="O223" s="188">
        <v>568246</v>
      </c>
      <c r="P223" s="167">
        <f>C223-O223-N223-M223</f>
        <v>96407</v>
      </c>
      <c r="Q223" s="29">
        <f>F223-F222</f>
        <v>10453</v>
      </c>
      <c r="R223" s="185">
        <f>G223/(C223-E223-F223)</f>
        <v>2.7013145000506878E-2</v>
      </c>
      <c r="S223" s="62" t="e">
        <f>E223/#REF!</f>
        <v>#REF!</v>
      </c>
      <c r="U223" s="146" t="e">
        <f>(C223-#REF!)/#REF!</f>
        <v>#REF!</v>
      </c>
      <c r="W223" s="213">
        <f>AVERAGE(B218:B223)</f>
        <v>12652.166666666666</v>
      </c>
      <c r="X223" s="36">
        <f>AVERAGE(D218:D223)</f>
        <v>322.83333333333331</v>
      </c>
    </row>
    <row r="224" spans="1:24" x14ac:dyDescent="0.25">
      <c r="A224" s="229">
        <v>44112</v>
      </c>
      <c r="B224" s="192">
        <v>15454</v>
      </c>
      <c r="C224" s="199">
        <f>C223+B224</f>
        <v>856369</v>
      </c>
      <c r="D224" s="192">
        <v>485</v>
      </c>
      <c r="E224" s="193">
        <f>E223+D224</f>
        <v>22710</v>
      </c>
      <c r="F224" s="194">
        <v>684844</v>
      </c>
      <c r="G224" s="195">
        <v>4043</v>
      </c>
      <c r="H224" s="192">
        <v>25841</v>
      </c>
      <c r="I224" s="47">
        <f>I223+H224</f>
        <v>2166276</v>
      </c>
      <c r="J224" s="193">
        <v>1544</v>
      </c>
      <c r="K224" s="193">
        <v>1155668</v>
      </c>
      <c r="L224" s="200">
        <f>K224+J224</f>
        <v>1157212</v>
      </c>
      <c r="M224" s="196">
        <v>7761</v>
      </c>
      <c r="N224" s="196">
        <v>171322</v>
      </c>
      <c r="O224" s="196">
        <v>578517</v>
      </c>
      <c r="P224" s="192">
        <f>C224-O224-N224-M224</f>
        <v>98769</v>
      </c>
      <c r="Q224" s="29">
        <f>F224-F223</f>
        <v>14119</v>
      </c>
      <c r="R224" s="197">
        <f>G224/(C224-E224-F224)</f>
        <v>2.7167960219063939E-2</v>
      </c>
      <c r="S224" s="156" t="e">
        <f>E224/#REF!</f>
        <v>#REF!</v>
      </c>
      <c r="U224" s="146">
        <f>(C224-C217)/C217</f>
        <v>0.11943367468320344</v>
      </c>
      <c r="W224" s="213">
        <f>AVERAGE(B218:B224)</f>
        <v>13052.428571428571</v>
      </c>
      <c r="X224" s="36">
        <f>AVERAGE(D218:D224)</f>
        <v>346</v>
      </c>
    </row>
    <row r="225" spans="1:24" x14ac:dyDescent="0.25">
      <c r="A225" s="158">
        <v>44113</v>
      </c>
      <c r="B225" s="8">
        <v>15099</v>
      </c>
      <c r="C225" s="16">
        <f>C224+B225</f>
        <v>871468</v>
      </c>
      <c r="D225" s="224">
        <v>514</v>
      </c>
      <c r="E225" s="7">
        <f>E224+D225</f>
        <v>23224</v>
      </c>
      <c r="F225" s="198">
        <v>697141</v>
      </c>
      <c r="G225" s="16">
        <v>4092</v>
      </c>
      <c r="H225" s="4">
        <v>25174</v>
      </c>
      <c r="I225" s="4">
        <f>I224+H225</f>
        <v>2191450</v>
      </c>
      <c r="J225" s="7">
        <v>1564</v>
      </c>
      <c r="K225" s="7">
        <v>1172099</v>
      </c>
      <c r="L225" s="4">
        <f>K225+J225</f>
        <v>1173663</v>
      </c>
      <c r="M225" s="9">
        <v>7817</v>
      </c>
      <c r="N225" s="9">
        <v>174267</v>
      </c>
      <c r="O225" s="9">
        <v>588788</v>
      </c>
      <c r="P225" s="4">
        <f>C225-O225-N225-M225</f>
        <v>100596</v>
      </c>
      <c r="Q225" s="29">
        <f>F225-F224</f>
        <v>12297</v>
      </c>
      <c r="R225" s="72">
        <f>G225/(C225-E225-F225)</f>
        <v>2.7080865369979418E-2</v>
      </c>
      <c r="S225" s="62" t="e">
        <f>E225/#REF!</f>
        <v>#REF!</v>
      </c>
      <c r="U225" s="146">
        <f>(C225-C218)/C218</f>
        <v>0.11771231862960745</v>
      </c>
      <c r="W225" s="213">
        <f>AVERAGE(B219:B225)</f>
        <v>13111.285714285714</v>
      </c>
      <c r="X225" s="36">
        <f>AVERAGE(D219:D225)</f>
        <v>375.28571428571428</v>
      </c>
    </row>
    <row r="226" spans="1:24" x14ac:dyDescent="0.25">
      <c r="A226" s="158">
        <v>44114</v>
      </c>
      <c r="B226" s="4">
        <v>12414</v>
      </c>
      <c r="C226" s="16">
        <f>C225+B226</f>
        <v>883882</v>
      </c>
      <c r="D226" s="4">
        <v>357</v>
      </c>
      <c r="E226" s="7">
        <f>E225+D226</f>
        <v>23581</v>
      </c>
      <c r="F226" s="198">
        <v>709464</v>
      </c>
      <c r="G226" s="16">
        <v>4200</v>
      </c>
      <c r="H226" s="4">
        <v>19871</v>
      </c>
      <c r="I226" s="4">
        <f>I225+H226</f>
        <v>2211321</v>
      </c>
      <c r="J226" s="7">
        <v>1566</v>
      </c>
      <c r="K226" s="7">
        <v>1182752</v>
      </c>
      <c r="L226" s="4">
        <f>K226+J226</f>
        <v>1184318</v>
      </c>
      <c r="M226" s="9">
        <v>7886</v>
      </c>
      <c r="N226" s="9">
        <v>176230</v>
      </c>
      <c r="O226" s="9">
        <v>594738</v>
      </c>
      <c r="P226" s="4">
        <f>C226-O226-N226-M226</f>
        <v>105028</v>
      </c>
      <c r="Q226" s="29">
        <f>F226-F225</f>
        <v>12323</v>
      </c>
      <c r="R226" s="72">
        <f>G226/(C226-E226-F226)</f>
        <v>2.7844626981443545E-2</v>
      </c>
      <c r="S226" s="62" t="e">
        <f>E226/#REF!</f>
        <v>#REF!</v>
      </c>
      <c r="U226" s="146">
        <f>(C226-C219)/C219</f>
        <v>0.11768068000475457</v>
      </c>
      <c r="W226" s="213">
        <f>AVERAGE(B220:B226)</f>
        <v>13294.857142857143</v>
      </c>
      <c r="X226" s="36">
        <f>AVERAGE(D220:D226)</f>
        <v>398.42857142857144</v>
      </c>
    </row>
    <row r="227" spans="1:24" x14ac:dyDescent="0.25">
      <c r="A227" s="158">
        <v>44115</v>
      </c>
      <c r="B227" s="4">
        <v>10324</v>
      </c>
      <c r="C227" s="16">
        <f>C226+B227</f>
        <v>894206</v>
      </c>
      <c r="D227" s="4">
        <v>287</v>
      </c>
      <c r="E227" s="7">
        <f>E226+D227</f>
        <v>23868</v>
      </c>
      <c r="F227" s="198">
        <v>721380</v>
      </c>
      <c r="G227" s="16">
        <v>4237</v>
      </c>
      <c r="H227" s="4">
        <v>14237</v>
      </c>
      <c r="I227" s="16">
        <v>2225558</v>
      </c>
      <c r="J227" s="7">
        <v>1567</v>
      </c>
      <c r="K227" s="7">
        <v>1189378</v>
      </c>
      <c r="L227" s="4">
        <f>K227+J227</f>
        <v>1190945</v>
      </c>
      <c r="M227" s="9">
        <v>7932</v>
      </c>
      <c r="N227" s="9">
        <v>177557</v>
      </c>
      <c r="O227" s="9">
        <v>599352</v>
      </c>
      <c r="P227" s="4">
        <f>C227-O227-N227-M227</f>
        <v>109365</v>
      </c>
      <c r="Q227" s="29">
        <f>F227-F226</f>
        <v>11916</v>
      </c>
      <c r="R227" s="72">
        <f>G227/(C227-E227-F227)</f>
        <v>2.8444259455685496E-2</v>
      </c>
      <c r="S227" s="62" t="e">
        <f>E227/#REF!</f>
        <v>#REF!</v>
      </c>
      <c r="U227" s="146">
        <f>(C227-C220)/C220</f>
        <v>0.11987686697074212</v>
      </c>
      <c r="W227" s="213">
        <f>AVERAGE(B221:B227)</f>
        <v>13674.285714285714</v>
      </c>
      <c r="X227" s="36">
        <f>AVERAGE(D221:D227)</f>
        <v>407.71428571428572</v>
      </c>
    </row>
    <row r="228" spans="1:24" x14ac:dyDescent="0.25">
      <c r="A228" s="158">
        <v>44116</v>
      </c>
      <c r="B228" s="4">
        <v>9524</v>
      </c>
      <c r="C228" s="16">
        <f>C227+B228</f>
        <v>903730</v>
      </c>
      <c r="D228" s="4">
        <v>318</v>
      </c>
      <c r="E228" s="7">
        <f>E227+D228</f>
        <v>24186</v>
      </c>
      <c r="F228" s="198">
        <v>732582</v>
      </c>
      <c r="G228" s="16">
        <v>4287</v>
      </c>
      <c r="H228" s="4">
        <v>13956</v>
      </c>
      <c r="I228" s="16">
        <f>I227+H228</f>
        <v>2239514</v>
      </c>
      <c r="J228" s="7">
        <v>1567</v>
      </c>
      <c r="K228" s="7">
        <v>1196534</v>
      </c>
      <c r="L228" s="12">
        <f>K228+J228</f>
        <v>1198101</v>
      </c>
      <c r="M228" s="9">
        <v>7963</v>
      </c>
      <c r="N228" s="9">
        <v>179298</v>
      </c>
      <c r="O228" s="9">
        <v>608522</v>
      </c>
      <c r="P228" s="4">
        <f>C228-O228-N228-M228</f>
        <v>107947</v>
      </c>
      <c r="Q228" s="29">
        <f>F228-F227</f>
        <v>11202</v>
      </c>
      <c r="R228" s="72">
        <f>G228/(C228-E228-F228)</f>
        <v>2.9170806058709055E-2</v>
      </c>
      <c r="S228" s="62" t="e">
        <f>E228/#REF!</f>
        <v>#REF!</v>
      </c>
      <c r="U228" s="146">
        <f>(C228-C221)/C221</f>
        <v>0.11609083544103699</v>
      </c>
      <c r="W228" s="213">
        <f>AVERAGE(B222:B228)</f>
        <v>13428.857142857143</v>
      </c>
      <c r="X228" s="36">
        <f>AVERAGE(D222:D228)</f>
        <v>388.71428571428572</v>
      </c>
    </row>
    <row r="229" spans="1:24" x14ac:dyDescent="0.25">
      <c r="A229" s="158">
        <v>44117</v>
      </c>
      <c r="B229" s="4">
        <v>13305</v>
      </c>
      <c r="C229" s="16">
        <f>C228+B229</f>
        <v>917035</v>
      </c>
      <c r="D229" s="4">
        <v>385</v>
      </c>
      <c r="E229" s="7">
        <f>E228+D229</f>
        <v>24571</v>
      </c>
      <c r="F229" s="198">
        <v>742235</v>
      </c>
      <c r="G229" s="16">
        <v>4294</v>
      </c>
      <c r="H229" s="16">
        <v>20544</v>
      </c>
      <c r="I229" s="16">
        <f>I228+H229</f>
        <v>2260058</v>
      </c>
      <c r="J229" s="7">
        <v>1574</v>
      </c>
      <c r="K229" s="7">
        <v>1207475</v>
      </c>
      <c r="L229" s="7">
        <f>J229+K229</f>
        <v>1209049</v>
      </c>
      <c r="M229" s="9">
        <v>8033</v>
      </c>
      <c r="N229" s="9">
        <v>182045</v>
      </c>
      <c r="O229" s="9">
        <v>619199</v>
      </c>
      <c r="P229" s="4">
        <f>C229-O229-N229-M229</f>
        <v>107758</v>
      </c>
      <c r="Q229" s="29">
        <f>F229-F228</f>
        <v>9653</v>
      </c>
      <c r="R229" s="72">
        <f>G229/(C229-E229-F229)</f>
        <v>2.8583029907674282E-2</v>
      </c>
      <c r="S229" s="62" t="e">
        <f>E229/#REF!</f>
        <v>#REF!</v>
      </c>
      <c r="U229" s="146">
        <f>(C229-C222)/C222</f>
        <v>0.1122748244928851</v>
      </c>
      <c r="W229" s="213">
        <f>AVERAGE(B223:B229)</f>
        <v>13223.857142857143</v>
      </c>
      <c r="X229" s="36">
        <f>AVERAGE(D223:D229)</f>
        <v>392.42857142857144</v>
      </c>
    </row>
    <row r="230" spans="1:24" x14ac:dyDescent="0.25">
      <c r="A230" s="158">
        <v>44118</v>
      </c>
      <c r="B230" s="4">
        <v>14932</v>
      </c>
      <c r="C230" s="16">
        <f>C229+B230</f>
        <v>931967</v>
      </c>
      <c r="D230" s="4">
        <v>350</v>
      </c>
      <c r="E230" s="7">
        <f>E229+D230</f>
        <v>24921</v>
      </c>
      <c r="F230" s="198">
        <v>751146</v>
      </c>
      <c r="G230" s="16">
        <v>4316</v>
      </c>
      <c r="H230" s="4">
        <v>23519</v>
      </c>
      <c r="I230" s="16">
        <f>I229+H230</f>
        <v>2283577</v>
      </c>
      <c r="J230" s="7">
        <v>1574</v>
      </c>
      <c r="K230" s="7">
        <v>1219715</v>
      </c>
      <c r="L230" s="7">
        <f>J230+K230</f>
        <v>1221289</v>
      </c>
      <c r="M230" s="9">
        <v>8098</v>
      </c>
      <c r="N230" s="9">
        <v>184890</v>
      </c>
      <c r="O230" s="9">
        <v>629734</v>
      </c>
      <c r="P230" s="4">
        <f>C230-O230-N230-M230</f>
        <v>109245</v>
      </c>
      <c r="Q230" s="29">
        <f>F230-F229</f>
        <v>8911</v>
      </c>
      <c r="R230" s="72">
        <f>G230/(C230-E230-F230)</f>
        <v>2.7684413085311096E-2</v>
      </c>
      <c r="S230" s="62" t="e">
        <f>E230/#REF!</f>
        <v>#REF!</v>
      </c>
      <c r="U230" s="146">
        <f>(C230-C223)/C223</f>
        <v>0.10827729318658842</v>
      </c>
      <c r="W230" s="213">
        <f>AVERAGE(B224:B230)</f>
        <v>13007.428571428571</v>
      </c>
      <c r="X230" s="36">
        <f>AVERAGE(D224:D230)</f>
        <v>385.14285714285717</v>
      </c>
    </row>
    <row r="231" spans="1:24" x14ac:dyDescent="0.25">
      <c r="A231" s="158">
        <v>44119</v>
      </c>
      <c r="B231" s="149">
        <v>17096</v>
      </c>
      <c r="C231" s="16">
        <f>C230+B231</f>
        <v>949063</v>
      </c>
      <c r="D231" s="4">
        <v>421</v>
      </c>
      <c r="E231" s="7">
        <f>E230+D231</f>
        <v>25342</v>
      </c>
      <c r="F231" s="198">
        <v>764859</v>
      </c>
      <c r="G231" s="16">
        <v>4278</v>
      </c>
      <c r="H231" s="4">
        <v>27662</v>
      </c>
      <c r="I231" s="16">
        <f>I230+H231</f>
        <v>2311239</v>
      </c>
      <c r="J231" s="7">
        <v>1575</v>
      </c>
      <c r="K231" s="7">
        <v>1234321</v>
      </c>
      <c r="L231" s="7">
        <f>J231+K231</f>
        <v>1235896</v>
      </c>
      <c r="M231" s="9">
        <v>8172</v>
      </c>
      <c r="N231" s="9">
        <v>187747</v>
      </c>
      <c r="O231" s="9">
        <v>642465</v>
      </c>
      <c r="P231" s="4">
        <f>C231-O231-N231-M231</f>
        <v>110679</v>
      </c>
      <c r="Q231" s="29">
        <f>F231-F230</f>
        <v>13713</v>
      </c>
      <c r="R231" s="72">
        <f>G231/(C231-E231-F231)</f>
        <v>2.692903274540167E-2</v>
      </c>
      <c r="S231" s="62" t="e">
        <f>E231/#REF!</f>
        <v>#REF!</v>
      </c>
      <c r="U231" s="146">
        <f>(C231-C224)/C224</f>
        <v>0.10824072333304918</v>
      </c>
      <c r="W231" s="213">
        <f>AVERAGE(B225:B231)</f>
        <v>13242</v>
      </c>
      <c r="X231" s="36">
        <f>AVERAGE(D225:D231)</f>
        <v>376</v>
      </c>
    </row>
    <row r="232" spans="1:24" x14ac:dyDescent="0.25">
      <c r="A232" s="158">
        <v>44120</v>
      </c>
      <c r="B232" s="16">
        <v>16546</v>
      </c>
      <c r="C232" s="16">
        <f>C231+B232</f>
        <v>965609</v>
      </c>
      <c r="D232" s="4">
        <v>379</v>
      </c>
      <c r="E232" s="7">
        <f>E231+D232</f>
        <v>25721</v>
      </c>
      <c r="F232" s="198">
        <v>778501</v>
      </c>
      <c r="G232" s="16">
        <v>4346</v>
      </c>
      <c r="H232" s="4">
        <v>27412</v>
      </c>
      <c r="I232" s="16">
        <f>I231+H232</f>
        <v>2338651</v>
      </c>
      <c r="J232" s="7">
        <v>1597</v>
      </c>
      <c r="K232" s="7">
        <v>1248101</v>
      </c>
      <c r="L232" s="7">
        <f>J232+K232</f>
        <v>1249698</v>
      </c>
      <c r="M232" s="9">
        <v>8249</v>
      </c>
      <c r="N232" s="9">
        <v>190484</v>
      </c>
      <c r="O232" s="9">
        <v>653179</v>
      </c>
      <c r="P232" s="4">
        <f>C232-O232-N232-M232</f>
        <v>113697</v>
      </c>
      <c r="Q232" s="29">
        <f>F232-F231</f>
        <v>13642</v>
      </c>
      <c r="R232" s="72">
        <f>G232/(C232-E232-F232)</f>
        <v>2.6929058722201912E-2</v>
      </c>
      <c r="S232" s="62" t="e">
        <f>E232/#REF!</f>
        <v>#REF!</v>
      </c>
      <c r="U232" s="146">
        <f>(C232-C225)/C225</f>
        <v>0.10802576801443083</v>
      </c>
      <c r="W232" s="213">
        <f>AVERAGE(B226:B232)</f>
        <v>13448.714285714286</v>
      </c>
      <c r="X232" s="36">
        <f>AVERAGE(D226:D232)</f>
        <v>356.71428571428572</v>
      </c>
    </row>
    <row r="233" spans="1:24" x14ac:dyDescent="0.25">
      <c r="A233" s="158">
        <v>44121</v>
      </c>
      <c r="B233" s="16">
        <v>13510</v>
      </c>
      <c r="C233" s="16">
        <f>C232+B233</f>
        <v>979119</v>
      </c>
      <c r="D233" s="4">
        <v>383</v>
      </c>
      <c r="E233" s="7">
        <f>E232+D233</f>
        <v>26104</v>
      </c>
      <c r="F233" s="198">
        <v>791174</v>
      </c>
      <c r="G233" s="16">
        <v>4386</v>
      </c>
      <c r="H233" s="4">
        <v>20955</v>
      </c>
      <c r="I233" s="16">
        <f>I232+H233</f>
        <v>2359606</v>
      </c>
      <c r="J233" s="7">
        <v>1611</v>
      </c>
      <c r="K233" s="7">
        <v>1260920</v>
      </c>
      <c r="L233" s="7">
        <f>J233+K233</f>
        <v>1262531</v>
      </c>
      <c r="M233" s="9">
        <v>8311</v>
      </c>
      <c r="N233" s="9">
        <v>192192</v>
      </c>
      <c r="O233" s="9">
        <v>661955</v>
      </c>
      <c r="P233" s="4">
        <f>C233-O233-N233-M233</f>
        <v>116661</v>
      </c>
      <c r="Q233" s="29">
        <f>F233-F232</f>
        <v>12673</v>
      </c>
      <c r="R233" s="72">
        <f>G233/(C233-E233-F233)</f>
        <v>2.7100672882644075E-2</v>
      </c>
      <c r="S233" s="62" t="e">
        <f>E233/#REF!</f>
        <v>#REF!</v>
      </c>
      <c r="U233" s="146">
        <f>(C233-C226)/C226</f>
        <v>0.10774854562034299</v>
      </c>
      <c r="W233" s="213">
        <f>AVERAGE(B227:B233)</f>
        <v>13605.285714285714</v>
      </c>
      <c r="X233" s="36">
        <f>AVERAGE(D227:D233)</f>
        <v>360.42857142857144</v>
      </c>
    </row>
    <row r="234" spans="1:24" x14ac:dyDescent="0.25">
      <c r="A234" s="158">
        <v>44122</v>
      </c>
      <c r="B234" s="16">
        <v>10561</v>
      </c>
      <c r="C234" s="16">
        <f>C233+B234</f>
        <v>989680</v>
      </c>
      <c r="D234" s="4">
        <v>161</v>
      </c>
      <c r="E234" s="7">
        <f>E233+D234</f>
        <v>26265</v>
      </c>
      <c r="F234" s="198">
        <v>803965</v>
      </c>
      <c r="G234" s="16">
        <v>4387</v>
      </c>
      <c r="H234" s="4">
        <v>13890</v>
      </c>
      <c r="I234" s="16">
        <f>I233+H234</f>
        <v>2373496</v>
      </c>
      <c r="J234" s="7">
        <v>1617</v>
      </c>
      <c r="K234" s="7">
        <v>1269203</v>
      </c>
      <c r="L234" s="4">
        <f>J234+K234</f>
        <v>1270820</v>
      </c>
      <c r="M234" s="9">
        <v>8370</v>
      </c>
      <c r="N234" s="9">
        <v>193297</v>
      </c>
      <c r="O234" s="9">
        <v>669231</v>
      </c>
      <c r="P234" s="4">
        <f>C234-O234-N234-M234</f>
        <v>118782</v>
      </c>
      <c r="Q234" s="29">
        <f>F234-F233</f>
        <v>12791</v>
      </c>
      <c r="R234" s="72">
        <f>G234/(C234-E234-F234)</f>
        <v>2.751332706177485E-2</v>
      </c>
      <c r="S234" s="62" t="e">
        <f>E234/#REF!</f>
        <v>#REF!</v>
      </c>
      <c r="U234" s="146">
        <f>(C234-C227)/C227</f>
        <v>0.1067695810585033</v>
      </c>
      <c r="W234" s="213">
        <f>AVERAGE(B228:B234)</f>
        <v>13639.142857142857</v>
      </c>
      <c r="X234" s="36">
        <f>AVERAGE(D228:D234)</f>
        <v>342.42857142857144</v>
      </c>
    </row>
    <row r="235" spans="1:24" x14ac:dyDescent="0.25">
      <c r="A235" s="158">
        <v>44123</v>
      </c>
      <c r="B235" s="16">
        <v>12982</v>
      </c>
      <c r="C235" s="16">
        <f>C234+B235</f>
        <v>1002662</v>
      </c>
      <c r="D235" s="4">
        <v>448</v>
      </c>
      <c r="E235" s="7">
        <f>E234+D235</f>
        <v>26713</v>
      </c>
      <c r="F235" s="198">
        <v>816247</v>
      </c>
      <c r="G235" s="16">
        <v>4392</v>
      </c>
      <c r="H235" s="4">
        <v>28395</v>
      </c>
      <c r="I235" s="16">
        <v>2626406</v>
      </c>
      <c r="J235" s="7">
        <v>1656</v>
      </c>
      <c r="K235" s="7">
        <v>1281757</v>
      </c>
      <c r="L235" s="4">
        <v>1283413</v>
      </c>
      <c r="M235" s="4">
        <v>8406</v>
      </c>
      <c r="N235" s="4">
        <v>195959</v>
      </c>
      <c r="O235" s="4">
        <v>676839</v>
      </c>
      <c r="P235" s="4">
        <v>121458</v>
      </c>
      <c r="Q235" s="29">
        <f>F235-F234</f>
        <v>12282</v>
      </c>
      <c r="R235" s="72">
        <f>G235/(C235-E235-F235)</f>
        <v>2.7501221024157495E-2</v>
      </c>
      <c r="S235" s="62" t="e">
        <f>E235/#REF!</f>
        <v>#REF!</v>
      </c>
      <c r="U235" s="146">
        <f>(C235-C228)/C228</f>
        <v>0.10947074900689366</v>
      </c>
      <c r="W235" s="213">
        <f>AVERAGE(B229:B235)</f>
        <v>14133.142857142857</v>
      </c>
      <c r="X235" s="246">
        <f>AVERAGE(D229:D235)</f>
        <v>361</v>
      </c>
    </row>
    <row r="236" spans="1:24" x14ac:dyDescent="0.25">
      <c r="A236" s="158">
        <v>44124</v>
      </c>
      <c r="B236" s="16">
        <v>16337</v>
      </c>
      <c r="C236" s="16">
        <f>C235+B236</f>
        <v>1018999</v>
      </c>
      <c r="D236" s="4">
        <v>382</v>
      </c>
      <c r="E236" s="7">
        <f>E235+D236</f>
        <v>27095</v>
      </c>
      <c r="F236" s="198">
        <v>829647</v>
      </c>
      <c r="G236" s="16">
        <v>4451</v>
      </c>
      <c r="H236" s="16">
        <v>37474</v>
      </c>
      <c r="I236" s="16">
        <v>2663880</v>
      </c>
      <c r="J236" s="7">
        <v>1707</v>
      </c>
      <c r="K236" s="7">
        <v>1298433</v>
      </c>
      <c r="L236" s="4">
        <v>1283413</v>
      </c>
      <c r="M236" s="4">
        <v>8482</v>
      </c>
      <c r="N236" s="4">
        <v>199382</v>
      </c>
      <c r="O236" s="4">
        <v>689632</v>
      </c>
      <c r="P236" s="16">
        <f>C236-M236-N236-O236</f>
        <v>121503</v>
      </c>
      <c r="Q236" s="29">
        <f>F236-F235</f>
        <v>13400</v>
      </c>
      <c r="R236" s="72">
        <f>G236/(C236-E236-F236)</f>
        <v>2.7431790307968225E-2</v>
      </c>
      <c r="S236" s="62" t="e">
        <f>E236/#REF!</f>
        <v>#REF!</v>
      </c>
      <c r="U236" s="146" t="e">
        <f>(C236-#REF!)/#REF!</f>
        <v>#REF!</v>
      </c>
      <c r="W236" s="213">
        <f>AVERAGE(B231:B236)</f>
        <v>14505.333333333334</v>
      </c>
      <c r="X236" s="246">
        <f>AVERAGE(D230:D236)</f>
        <v>360.57142857142856</v>
      </c>
    </row>
    <row r="237" spans="1:24" x14ac:dyDescent="0.25">
      <c r="A237" s="223">
        <v>44125</v>
      </c>
      <c r="B237" s="201">
        <v>18326</v>
      </c>
      <c r="C237" s="16">
        <f>C236+B237</f>
        <v>1037325</v>
      </c>
      <c r="D237" s="4">
        <v>423</v>
      </c>
      <c r="E237" s="7">
        <f>E236+D237</f>
        <v>27518</v>
      </c>
      <c r="F237" s="198">
        <v>840520</v>
      </c>
      <c r="G237" s="16">
        <v>4573</v>
      </c>
      <c r="H237" s="16">
        <v>38340</v>
      </c>
      <c r="I237" s="16">
        <f>I236+H237</f>
        <v>2702220</v>
      </c>
      <c r="J237" s="7">
        <v>1753</v>
      </c>
      <c r="K237" s="7">
        <v>1314443</v>
      </c>
      <c r="L237" s="7">
        <f>J237+K237</f>
        <v>1316196</v>
      </c>
      <c r="M237" s="4">
        <v>8552</v>
      </c>
      <c r="N237" s="4">
        <v>202216</v>
      </c>
      <c r="O237" s="4">
        <v>702103</v>
      </c>
      <c r="P237" s="16">
        <f>C237-M237-N237-O237</f>
        <v>124454</v>
      </c>
      <c r="Q237" s="29">
        <f>F237-F236</f>
        <v>10873</v>
      </c>
      <c r="R237" s="72">
        <f>G237/(C237-E237-F237)</f>
        <v>2.7013296945424044E-2</v>
      </c>
      <c r="S237" s="62" t="e">
        <f>E237/#REF!</f>
        <v>#REF!</v>
      </c>
      <c r="U237" s="146" t="e">
        <f>(C237-#REF!)/#REF!</f>
        <v>#REF!</v>
      </c>
      <c r="W237" s="222">
        <f>AVERAGE(B236:B237)</f>
        <v>17331.5</v>
      </c>
      <c r="X237" s="246">
        <f>AVERAGE(D231:D237)</f>
        <v>371</v>
      </c>
    </row>
    <row r="238" spans="1:24" x14ac:dyDescent="0.25">
      <c r="A238" s="158">
        <v>44126</v>
      </c>
      <c r="B238" s="16">
        <v>16325</v>
      </c>
      <c r="C238" s="16">
        <f>C237+B238</f>
        <v>1053650</v>
      </c>
      <c r="D238" s="205">
        <v>437</v>
      </c>
      <c r="E238" s="206">
        <f>E237+D238</f>
        <v>27955</v>
      </c>
      <c r="F238" s="207">
        <v>851854</v>
      </c>
      <c r="G238" s="206">
        <v>4611</v>
      </c>
      <c r="H238" s="206">
        <v>39196</v>
      </c>
      <c r="I238" s="206">
        <f>I237+H238</f>
        <v>2741416</v>
      </c>
      <c r="J238" s="206">
        <v>1832</v>
      </c>
      <c r="K238" s="206">
        <v>1332741</v>
      </c>
      <c r="L238" s="206">
        <f>K238+J238</f>
        <v>1334573</v>
      </c>
      <c r="M238" s="206">
        <v>8614</v>
      </c>
      <c r="N238" s="206">
        <v>205085</v>
      </c>
      <c r="O238" s="206">
        <v>714929</v>
      </c>
      <c r="P238" s="206">
        <f>C238-M238-N238-O238</f>
        <v>125022</v>
      </c>
      <c r="Q238" s="207">
        <f>F238-F237</f>
        <v>11334</v>
      </c>
      <c r="R238" s="72">
        <f>G238/(C238-E238-F238)</f>
        <v>2.6524237665452914E-2</v>
      </c>
      <c r="S238" s="62" t="e">
        <f>E238/#REF!</f>
        <v>#REF!</v>
      </c>
      <c r="U238" s="146" t="e">
        <f>(C238-#REF!)/#REF!</f>
        <v>#REF!</v>
      </c>
      <c r="W238" s="213">
        <f>AVERAGE(B236:B238)</f>
        <v>16996</v>
      </c>
      <c r="X238" s="36">
        <f>AVERAGE(D232:D238)</f>
        <v>373.28571428571428</v>
      </c>
    </row>
    <row r="239" spans="1:24" x14ac:dyDescent="0.25">
      <c r="A239" s="158">
        <v>44127</v>
      </c>
      <c r="B239" s="16">
        <v>15718</v>
      </c>
      <c r="C239" s="16">
        <f>C238+B239</f>
        <v>1069368</v>
      </c>
      <c r="D239" s="205">
        <v>382</v>
      </c>
      <c r="E239" s="206">
        <f>E238+D239</f>
        <v>28337</v>
      </c>
      <c r="F239" s="207">
        <v>866695</v>
      </c>
      <c r="G239" s="206">
        <v>4696</v>
      </c>
      <c r="H239" s="206">
        <v>35671</v>
      </c>
      <c r="I239" s="206">
        <f>I238+H239</f>
        <v>2777087</v>
      </c>
      <c r="J239" s="206">
        <v>1839</v>
      </c>
      <c r="K239" s="206">
        <v>1348372</v>
      </c>
      <c r="L239" s="206">
        <f>K239+J239</f>
        <v>1350211</v>
      </c>
      <c r="M239" s="206">
        <v>8671</v>
      </c>
      <c r="N239" s="208">
        <v>208116</v>
      </c>
      <c r="O239" s="208">
        <v>727467</v>
      </c>
      <c r="P239" s="206">
        <f>C239-M239-N239-O239</f>
        <v>125114</v>
      </c>
      <c r="Q239" s="207">
        <f>F239-F238</f>
        <v>14841</v>
      </c>
      <c r="R239" s="72">
        <f>G239/(C239-E239-F239)</f>
        <v>2.6936490455212923E-2</v>
      </c>
      <c r="S239" s="62" t="e">
        <f>E239/#REF!</f>
        <v>#REF!</v>
      </c>
      <c r="U239" s="146" t="e">
        <f>(C239-#REF!)/#REF!</f>
        <v>#REF!</v>
      </c>
      <c r="W239" s="213">
        <f>AVERAGE(B236:B239)</f>
        <v>16676.5</v>
      </c>
      <c r="X239" s="36">
        <f>AVERAGE(D233:D239)</f>
        <v>373.71428571428572</v>
      </c>
    </row>
    <row r="240" spans="1:24" x14ac:dyDescent="0.25">
      <c r="A240" s="158">
        <v>44128</v>
      </c>
      <c r="B240" s="16">
        <v>11968</v>
      </c>
      <c r="C240" s="16">
        <f>C239+B240</f>
        <v>1081336</v>
      </c>
      <c r="D240" s="205">
        <v>274</v>
      </c>
      <c r="E240" s="206">
        <f>E239+D240</f>
        <v>28611</v>
      </c>
      <c r="F240" s="207">
        <v>881113</v>
      </c>
      <c r="G240" s="206">
        <v>4850</v>
      </c>
      <c r="H240" s="206">
        <v>27027</v>
      </c>
      <c r="I240" s="206">
        <f>I239+H240</f>
        <v>2804114</v>
      </c>
      <c r="J240" s="206">
        <v>1868</v>
      </c>
      <c r="K240" s="206">
        <v>1359984</v>
      </c>
      <c r="L240" s="206">
        <f>K240+J240</f>
        <v>1361852</v>
      </c>
      <c r="M240" s="206">
        <v>8708</v>
      </c>
      <c r="N240" s="208">
        <v>210053</v>
      </c>
      <c r="O240" s="208">
        <v>735763</v>
      </c>
      <c r="P240" s="206">
        <f>C240-M240-N240-O240</f>
        <v>126812</v>
      </c>
      <c r="Q240" s="207">
        <f>F240-F239</f>
        <v>14418</v>
      </c>
      <c r="R240" s="72">
        <f>G240/(C240-E240-F240)</f>
        <v>2.8261426939841038E-2</v>
      </c>
      <c r="S240" s="62" t="e">
        <f>E240/#REF!</f>
        <v>#REF!</v>
      </c>
      <c r="T240" s="213"/>
      <c r="U240" s="146" t="e">
        <f>(C240-#REF!)/#REF!</f>
        <v>#REF!</v>
      </c>
      <c r="W240" s="213">
        <f>AVERAGE(B236:B240)</f>
        <v>15734.8</v>
      </c>
      <c r="X240" s="36">
        <f>AVERAGE(D234:D240)</f>
        <v>358.14285714285717</v>
      </c>
    </row>
    <row r="241" spans="1:24" x14ac:dyDescent="0.25">
      <c r="A241" s="158">
        <v>44129</v>
      </c>
      <c r="B241" s="16">
        <v>9253</v>
      </c>
      <c r="C241" s="16">
        <f>C240+B241</f>
        <v>1090589</v>
      </c>
      <c r="D241" s="205">
        <v>283</v>
      </c>
      <c r="E241" s="206">
        <f>E240+D241</f>
        <v>28894</v>
      </c>
      <c r="F241" s="207">
        <v>894819</v>
      </c>
      <c r="G241" s="206">
        <v>4863</v>
      </c>
      <c r="H241" s="206">
        <v>20303</v>
      </c>
      <c r="I241" s="206">
        <f>I240+H241</f>
        <v>2824417</v>
      </c>
      <c r="J241" s="206">
        <v>1904</v>
      </c>
      <c r="K241" s="206">
        <v>1367953</v>
      </c>
      <c r="L241" s="206">
        <f>K241+J241</f>
        <v>1369857</v>
      </c>
      <c r="M241" s="206">
        <v>8749</v>
      </c>
      <c r="N241" s="206">
        <v>211123</v>
      </c>
      <c r="O241" s="206">
        <v>741313</v>
      </c>
      <c r="P241" s="206">
        <f>C241-M241-N241-O241</f>
        <v>129404</v>
      </c>
      <c r="Q241" s="207">
        <f>F241-F240</f>
        <v>13706</v>
      </c>
      <c r="R241" s="72">
        <f>G241/(C241-E241-F241)</f>
        <v>2.9141398403605072E-2</v>
      </c>
      <c r="S241" s="62" t="e">
        <f>E241/#REF!</f>
        <v>#REF!</v>
      </c>
      <c r="T241" s="213"/>
      <c r="U241" s="146" t="e">
        <f>(C241-#REF!)/#REF!</f>
        <v>#REF!</v>
      </c>
      <c r="W241" s="213">
        <f>AVERAGE(B235:B241)</f>
        <v>14415.571428571429</v>
      </c>
      <c r="X241" s="36">
        <f>AVERAGE(D235:D241)</f>
        <v>375.57142857142856</v>
      </c>
    </row>
    <row r="242" spans="1:24" x14ac:dyDescent="0.25">
      <c r="A242" s="158">
        <v>44130</v>
      </c>
      <c r="B242" s="16">
        <v>11712</v>
      </c>
      <c r="C242" s="16">
        <f>C241+B242</f>
        <v>1102301</v>
      </c>
      <c r="D242" s="205">
        <v>405</v>
      </c>
      <c r="E242" s="206">
        <f>E241+D242</f>
        <v>29299</v>
      </c>
      <c r="F242" s="207">
        <v>909586</v>
      </c>
      <c r="G242" s="206">
        <v>5038</v>
      </c>
      <c r="H242" s="206">
        <v>26448</v>
      </c>
      <c r="I242" s="206">
        <f>I241+H242</f>
        <v>2850865</v>
      </c>
      <c r="J242" s="206">
        <v>1956</v>
      </c>
      <c r="K242" s="206">
        <v>1378916</v>
      </c>
      <c r="L242" s="206">
        <f>K242+J242</f>
        <v>1380872</v>
      </c>
      <c r="M242" s="208">
        <v>8816</v>
      </c>
      <c r="N242" s="208">
        <v>213578</v>
      </c>
      <c r="O242" s="208">
        <v>753406</v>
      </c>
      <c r="P242" s="206">
        <f>C242-M242-N242-O242</f>
        <v>126501</v>
      </c>
      <c r="Q242" s="207">
        <f>F242-F241</f>
        <v>14767</v>
      </c>
      <c r="R242" s="72">
        <f>G242/(C242-E242-F242)</f>
        <v>3.0829294561120085E-2</v>
      </c>
      <c r="S242" s="62" t="e">
        <f>E242/#REF!</f>
        <v>#REF!</v>
      </c>
      <c r="T242" s="213"/>
      <c r="U242" s="146">
        <f>(C242-C235)/C235</f>
        <v>9.9374465173707585E-2</v>
      </c>
      <c r="W242" s="213">
        <f>AVERAGE(B236:B242)</f>
        <v>14234.142857142857</v>
      </c>
      <c r="X242" s="36">
        <f>AVERAGE(D236:D242)</f>
        <v>369.42857142857144</v>
      </c>
    </row>
    <row r="243" spans="1:24" x14ac:dyDescent="0.25">
      <c r="A243" s="158">
        <v>44131</v>
      </c>
      <c r="B243" s="16">
        <v>14308</v>
      </c>
      <c r="C243" s="16">
        <f>C242+B243</f>
        <v>1116609</v>
      </c>
      <c r="D243" s="205">
        <v>425</v>
      </c>
      <c r="E243" s="206">
        <f>E242+D243</f>
        <v>29724</v>
      </c>
      <c r="F243" s="207">
        <v>921344</v>
      </c>
      <c r="G243" s="206">
        <v>4952</v>
      </c>
      <c r="H243" s="206">
        <v>32847</v>
      </c>
      <c r="I243" s="206">
        <v>2882949</v>
      </c>
      <c r="J243" s="206">
        <v>2043</v>
      </c>
      <c r="K243" s="206">
        <v>1392805</v>
      </c>
      <c r="L243" s="206">
        <f>K243+J243</f>
        <v>1394848</v>
      </c>
      <c r="M243" s="206">
        <v>8868</v>
      </c>
      <c r="N243" s="206">
        <v>216480</v>
      </c>
      <c r="O243" s="206">
        <v>765831</v>
      </c>
      <c r="P243" s="206">
        <f>C243-M243-N243-O243</f>
        <v>125430</v>
      </c>
      <c r="Q243" s="207">
        <f>F243-F242</f>
        <v>11758</v>
      </c>
      <c r="R243" s="72">
        <f>G243/(C243-E243-F243)</f>
        <v>2.991403942225793E-2</v>
      </c>
      <c r="S243" s="62" t="e">
        <f>E243/#REF!</f>
        <v>#REF!</v>
      </c>
      <c r="T243" s="213"/>
      <c r="U243" s="146">
        <f>(C243-C236)/C236</f>
        <v>9.5790084190465349E-2</v>
      </c>
      <c r="W243" s="213">
        <f>AVERAGE(B237:B243)</f>
        <v>13944.285714285714</v>
      </c>
      <c r="X243" s="36">
        <f>AVERAGE(D237:D243)</f>
        <v>375.57142857142856</v>
      </c>
    </row>
    <row r="244" spans="1:24" x14ac:dyDescent="0.25">
      <c r="A244" s="158">
        <v>44132</v>
      </c>
      <c r="B244" s="16">
        <v>13924</v>
      </c>
      <c r="C244" s="16">
        <f>C243+B244</f>
        <v>1130533</v>
      </c>
      <c r="D244" s="205">
        <v>345</v>
      </c>
      <c r="E244" s="206">
        <f>E243+D244</f>
        <v>30069</v>
      </c>
      <c r="F244" s="207">
        <v>931147</v>
      </c>
      <c r="G244" s="206">
        <v>5037</v>
      </c>
      <c r="H244" s="206">
        <v>32827</v>
      </c>
      <c r="I244" s="206">
        <f>I243+H244</f>
        <v>2915776</v>
      </c>
      <c r="J244" s="206">
        <v>2109</v>
      </c>
      <c r="K244" s="242">
        <v>1406416</v>
      </c>
      <c r="L244" s="206">
        <f>K244+J244</f>
        <v>1408525</v>
      </c>
      <c r="M244" s="208">
        <v>8959</v>
      </c>
      <c r="N244" s="208">
        <v>219233</v>
      </c>
      <c r="O244" s="208">
        <v>777424</v>
      </c>
      <c r="P244" s="206">
        <f>C244-M244-N244-O244</f>
        <v>124917</v>
      </c>
      <c r="Q244" s="207">
        <f>F244-F243</f>
        <v>9803</v>
      </c>
      <c r="R244" s="72">
        <f>G244/(C244-E244-F244)</f>
        <v>2.97489324757703E-2</v>
      </c>
      <c r="S244" s="62" t="e">
        <f>E244/#REF!</f>
        <v>#REF!</v>
      </c>
      <c r="T244" s="213"/>
      <c r="U244" s="146">
        <f>(C244-C237)/C237</f>
        <v>8.9854192273395514E-2</v>
      </c>
      <c r="V244" s="95">
        <f>C231*0.03</f>
        <v>28471.89</v>
      </c>
      <c r="W244" s="213">
        <f>AVERAGE(B238:B244)</f>
        <v>13315.428571428571</v>
      </c>
      <c r="X244" s="36">
        <f>AVERAGE(D238:D244)</f>
        <v>364.42857142857144</v>
      </c>
    </row>
    <row r="245" spans="1:24" x14ac:dyDescent="0.25">
      <c r="A245" s="158">
        <v>44133</v>
      </c>
      <c r="B245" s="16">
        <v>13267</v>
      </c>
      <c r="C245" s="16">
        <f>C244+B245</f>
        <v>1143800</v>
      </c>
      <c r="D245" s="205">
        <v>372</v>
      </c>
      <c r="E245" s="206">
        <f>E244+D245</f>
        <v>30441</v>
      </c>
      <c r="F245" s="207">
        <v>946134</v>
      </c>
      <c r="G245" s="206">
        <v>4981</v>
      </c>
      <c r="H245" s="206">
        <v>31568</v>
      </c>
      <c r="I245" s="206">
        <f>I244+H245</f>
        <v>2947344</v>
      </c>
      <c r="J245" s="206">
        <v>2160</v>
      </c>
      <c r="K245" s="206">
        <v>1420288</v>
      </c>
      <c r="L245" s="206">
        <f>K245+J245</f>
        <v>1422448</v>
      </c>
      <c r="M245" s="206">
        <v>9010</v>
      </c>
      <c r="N245" s="206">
        <v>221851</v>
      </c>
      <c r="O245" s="206">
        <v>788337</v>
      </c>
      <c r="P245" s="206">
        <f>C245-M245-N245-O245</f>
        <v>124602</v>
      </c>
      <c r="Q245" s="207">
        <f>F245-F244</f>
        <v>14987</v>
      </c>
      <c r="R245" s="72">
        <f>G245/(C245-E245-F245)</f>
        <v>2.9786216175811033E-2</v>
      </c>
      <c r="S245" s="62">
        <f>E245/C225</f>
        <v>3.4930714610289765E-2</v>
      </c>
      <c r="T245" s="213"/>
      <c r="U245" s="146">
        <f>(C245-C238)/C238</f>
        <v>8.5559720969961561E-2</v>
      </c>
      <c r="V245" s="95">
        <f>C232*0.03</f>
        <v>28968.27</v>
      </c>
      <c r="W245" s="213">
        <f>AVERAGE(B239:B245)</f>
        <v>12878.571428571429</v>
      </c>
      <c r="X245" s="36">
        <f>AVERAGE(D239:D245)</f>
        <v>355.14285714285717</v>
      </c>
    </row>
    <row r="246" spans="1:24" x14ac:dyDescent="0.25">
      <c r="A246" s="158">
        <v>44134</v>
      </c>
      <c r="B246" s="16">
        <v>13379</v>
      </c>
      <c r="C246" s="16">
        <f>C245+B246</f>
        <v>1157179</v>
      </c>
      <c r="D246" s="205">
        <v>349</v>
      </c>
      <c r="E246" s="206">
        <f>E245+D246</f>
        <v>30790</v>
      </c>
      <c r="F246" s="207">
        <v>961101</v>
      </c>
      <c r="G246" s="206">
        <v>4981</v>
      </c>
      <c r="H246" s="206">
        <v>32761</v>
      </c>
      <c r="I246" s="206">
        <f>I245+H246</f>
        <v>2980105</v>
      </c>
      <c r="J246" s="206">
        <v>2198</v>
      </c>
      <c r="K246" s="206">
        <v>1435121</v>
      </c>
      <c r="L246" s="206">
        <f>K246+J246</f>
        <v>1437319</v>
      </c>
      <c r="M246" s="206">
        <v>9073</v>
      </c>
      <c r="N246" s="206">
        <v>224367</v>
      </c>
      <c r="O246" s="206">
        <v>799735</v>
      </c>
      <c r="P246" s="206">
        <f>C246-M246-N246-O246</f>
        <v>124004</v>
      </c>
      <c r="Q246" s="207">
        <f>F246-F245</f>
        <v>14967</v>
      </c>
      <c r="R246" s="72">
        <f>G246/(C246-E246-F246)</f>
        <v>3.0135279028120614E-2</v>
      </c>
      <c r="S246" s="62">
        <f>E246/C226</f>
        <v>3.4834966658445356E-2</v>
      </c>
      <c r="T246" s="213"/>
      <c r="U246" s="146">
        <f>(C246-C239)/C239</f>
        <v>8.2114856625595672E-2</v>
      </c>
      <c r="V246" s="95">
        <f>C233*0.03</f>
        <v>29373.57</v>
      </c>
      <c r="W246" s="213">
        <f>AVERAGE(B240:B246)</f>
        <v>12544.428571428571</v>
      </c>
      <c r="X246" s="36">
        <f>AVERAGE(D240:D246)</f>
        <v>350.42857142857144</v>
      </c>
    </row>
    <row r="247" spans="1:24" x14ac:dyDescent="0.25">
      <c r="A247" s="158">
        <v>44135</v>
      </c>
      <c r="B247" s="16">
        <v>9745</v>
      </c>
      <c r="C247" s="16">
        <f>C246+B247</f>
        <v>1166924</v>
      </c>
      <c r="D247" s="205">
        <v>210</v>
      </c>
      <c r="E247" s="206">
        <f>E246+D247</f>
        <v>31000</v>
      </c>
      <c r="F247" s="207">
        <v>973939</v>
      </c>
      <c r="G247" s="206">
        <v>4969</v>
      </c>
      <c r="H247" s="206">
        <v>26699</v>
      </c>
      <c r="I247" s="206">
        <f>I246+H247</f>
        <v>3006804</v>
      </c>
      <c r="J247" s="208">
        <v>2357</v>
      </c>
      <c r="K247" s="208">
        <v>1447945</v>
      </c>
      <c r="L247" s="206">
        <f>K247+J247</f>
        <v>1450302</v>
      </c>
      <c r="M247" s="208">
        <v>9103</v>
      </c>
      <c r="N247" s="208">
        <v>225845</v>
      </c>
      <c r="O247" s="208">
        <v>808139</v>
      </c>
      <c r="P247" s="206">
        <f>C247-M247-N247-O247</f>
        <v>123837</v>
      </c>
      <c r="Q247" s="207">
        <f>F247-F246</f>
        <v>12838</v>
      </c>
      <c r="R247" s="72">
        <f>G247/(C247-E247-F247)</f>
        <v>3.0675679846899406E-2</v>
      </c>
      <c r="S247" s="62">
        <f>E247/C227</f>
        <v>3.4667626922655403E-2</v>
      </c>
      <c r="T247" s="213"/>
      <c r="U247" s="146">
        <f>(C247-C240)/C240</f>
        <v>7.9150236374262953E-2</v>
      </c>
      <c r="V247" s="95">
        <f>C234*0.03</f>
        <v>29690.399999999998</v>
      </c>
      <c r="W247" s="213">
        <f>AVERAGE(B241:B247)</f>
        <v>12226.857142857143</v>
      </c>
      <c r="X247" s="36">
        <f>AVERAGE(D241:D247)</f>
        <v>341.28571428571428</v>
      </c>
    </row>
    <row r="248" spans="1:24" x14ac:dyDescent="0.25">
      <c r="A248" s="158">
        <v>44136</v>
      </c>
      <c r="B248" s="16">
        <v>6609</v>
      </c>
      <c r="C248" s="16">
        <f>C247+B248</f>
        <v>1173533</v>
      </c>
      <c r="D248" s="205">
        <v>135</v>
      </c>
      <c r="E248" s="206">
        <f>E247+D248</f>
        <v>31135</v>
      </c>
      <c r="F248" s="207">
        <v>985316</v>
      </c>
      <c r="G248" s="206">
        <v>5119</v>
      </c>
      <c r="H248" s="206">
        <v>15645</v>
      </c>
      <c r="I248" s="206">
        <f>I247+H248</f>
        <v>3022449</v>
      </c>
      <c r="J248" s="208">
        <v>2393</v>
      </c>
      <c r="K248" s="208">
        <v>1455146</v>
      </c>
      <c r="L248" s="206">
        <f>K248+J248</f>
        <v>1457539</v>
      </c>
      <c r="M248" s="208">
        <v>9123</v>
      </c>
      <c r="N248" s="208">
        <v>226864</v>
      </c>
      <c r="O248" s="208">
        <v>813376</v>
      </c>
      <c r="P248" s="206">
        <f>C248-M248-N248-O248</f>
        <v>124170</v>
      </c>
      <c r="Q248" s="207">
        <f>F248-F247</f>
        <v>11377</v>
      </c>
      <c r="R248" s="72">
        <f>G248/(C248-E248-F248)</f>
        <v>3.2588075018143391E-2</v>
      </c>
      <c r="S248" s="62">
        <f>E248/C228</f>
        <v>3.4451661447556237E-2</v>
      </c>
      <c r="T248" s="213"/>
      <c r="U248" s="146">
        <f>(C248-C241)/C241</f>
        <v>7.6054315603770073E-2</v>
      </c>
      <c r="V248" s="95">
        <f>C235*0.03</f>
        <v>30079.86</v>
      </c>
      <c r="W248" s="213">
        <f>AVERAGE(B242:B248)</f>
        <v>11849.142857142857</v>
      </c>
      <c r="X248" s="36">
        <f>AVERAGE(D242:D248)</f>
        <v>320.14285714285717</v>
      </c>
    </row>
    <row r="249" spans="1:24" x14ac:dyDescent="0.25">
      <c r="A249" s="158">
        <v>44137</v>
      </c>
      <c r="B249" s="16">
        <v>9598</v>
      </c>
      <c r="C249" s="16">
        <f>C248+B249</f>
        <v>1183131</v>
      </c>
      <c r="D249" s="205">
        <v>482</v>
      </c>
      <c r="E249" s="206">
        <f>E248+D249</f>
        <v>31617</v>
      </c>
      <c r="F249" s="207">
        <v>998016</v>
      </c>
      <c r="G249" s="206">
        <v>4992</v>
      </c>
      <c r="H249" s="206">
        <v>249864</v>
      </c>
      <c r="I249" s="206">
        <f>I248+H249</f>
        <v>3272313</v>
      </c>
      <c r="J249" s="208">
        <v>2514</v>
      </c>
      <c r="K249" s="208">
        <v>1467420</v>
      </c>
      <c r="L249" s="206">
        <f>K249+J249</f>
        <v>1469934</v>
      </c>
      <c r="M249" s="208">
        <v>9159</v>
      </c>
      <c r="N249" s="208">
        <v>229301</v>
      </c>
      <c r="O249" s="208">
        <v>822808</v>
      </c>
      <c r="P249" s="206">
        <f>C249-M249-N249-O249</f>
        <v>121863</v>
      </c>
      <c r="Q249" s="207">
        <f>F249-F248</f>
        <v>12700</v>
      </c>
      <c r="R249" s="9">
        <f>G249-G248</f>
        <v>-127</v>
      </c>
      <c r="S249" s="4"/>
      <c r="T249" s="213"/>
      <c r="U249" s="146">
        <f>(C249-C242)/C242</f>
        <v>7.3328428441959137E-2</v>
      </c>
      <c r="V249" s="95">
        <f>C236*0.03</f>
        <v>30569.969999999998</v>
      </c>
      <c r="W249" s="213">
        <f>AVERAGE(B243:B249)</f>
        <v>11547.142857142857</v>
      </c>
      <c r="X249" s="36">
        <f>AVERAGE(D243:D249)</f>
        <v>331.14285714285717</v>
      </c>
    </row>
    <row r="250" spans="1:24" x14ac:dyDescent="0.25">
      <c r="A250" s="158">
        <v>44138</v>
      </c>
      <c r="B250" s="16">
        <v>12145</v>
      </c>
      <c r="C250" s="16">
        <f>C249+B250</f>
        <v>1195276</v>
      </c>
      <c r="D250" s="205">
        <v>430</v>
      </c>
      <c r="E250" s="206">
        <f>E249+D250</f>
        <v>32047</v>
      </c>
      <c r="F250" s="207">
        <v>1009278</v>
      </c>
      <c r="G250" s="206">
        <v>4854</v>
      </c>
      <c r="H250" s="206">
        <v>30999</v>
      </c>
      <c r="I250" s="206">
        <f>I249+H250</f>
        <v>3303312</v>
      </c>
      <c r="J250" s="208">
        <v>2583</v>
      </c>
      <c r="K250" s="208">
        <v>1482833</v>
      </c>
      <c r="L250" s="206">
        <f>K250+J250</f>
        <v>1485416</v>
      </c>
      <c r="M250" s="208">
        <v>9211</v>
      </c>
      <c r="N250" s="208">
        <v>232229</v>
      </c>
      <c r="O250" s="208">
        <v>832741</v>
      </c>
      <c r="P250" s="206">
        <f>C250-M250-N250-O250</f>
        <v>121095</v>
      </c>
      <c r="Q250" s="207">
        <f>F250-F249</f>
        <v>11262</v>
      </c>
      <c r="R250" s="9">
        <f>G250-G249</f>
        <v>-138</v>
      </c>
      <c r="S250" s="4"/>
      <c r="T250" s="213"/>
      <c r="U250" s="146">
        <f>(C250-C243)/C243</f>
        <v>7.0451697953356998E-2</v>
      </c>
      <c r="V250" s="95">
        <f>C237*0.03</f>
        <v>31119.75</v>
      </c>
      <c r="W250" s="213">
        <f>AVERAGE(B244:B250)</f>
        <v>11238.142857142857</v>
      </c>
      <c r="X250" s="36">
        <f>AVERAGE(D244:D250)</f>
        <v>331.85714285714283</v>
      </c>
    </row>
    <row r="251" spans="1:24" x14ac:dyDescent="0.25">
      <c r="A251" s="158">
        <v>44139</v>
      </c>
      <c r="B251" s="16">
        <v>10652</v>
      </c>
      <c r="C251" s="16">
        <f>C250+B251</f>
        <v>1205928</v>
      </c>
      <c r="D251" s="205">
        <v>465</v>
      </c>
      <c r="E251" s="206">
        <f>E250+D251</f>
        <v>32512</v>
      </c>
      <c r="F251" s="207">
        <v>1017647</v>
      </c>
      <c r="G251" s="206">
        <v>4816</v>
      </c>
      <c r="H251" s="206">
        <v>36435</v>
      </c>
      <c r="I251" s="206">
        <f>I250+H251</f>
        <v>3339747</v>
      </c>
      <c r="J251" s="208">
        <v>2640</v>
      </c>
      <c r="K251" s="208">
        <v>1503103</v>
      </c>
      <c r="L251" s="206">
        <f>K251+J251</f>
        <v>1505743</v>
      </c>
      <c r="M251" s="208">
        <v>9251</v>
      </c>
      <c r="N251" s="208">
        <v>234718</v>
      </c>
      <c r="O251" s="208">
        <v>842950</v>
      </c>
      <c r="P251" s="206">
        <f>C251-M251-N251-O251</f>
        <v>119009</v>
      </c>
      <c r="Q251" s="207">
        <f>F251-F250</f>
        <v>8369</v>
      </c>
      <c r="R251" s="79">
        <f>G251-G250</f>
        <v>-38</v>
      </c>
      <c r="S251" s="4"/>
      <c r="T251" s="213"/>
      <c r="U251" s="146">
        <f>(C251-C244)/C244</f>
        <v>6.6689782606965037E-2</v>
      </c>
      <c r="V251" s="95">
        <f>C238*0.03</f>
        <v>31609.5</v>
      </c>
      <c r="W251" s="213">
        <f>AVERAGE(B245:B251)</f>
        <v>10770.714285714286</v>
      </c>
      <c r="X251" s="36">
        <f>AVERAGE(D245:D251)</f>
        <v>349</v>
      </c>
    </row>
    <row r="252" spans="1:24" x14ac:dyDescent="0.25">
      <c r="A252" s="158">
        <v>44140</v>
      </c>
      <c r="B252" s="16">
        <v>11100</v>
      </c>
      <c r="C252" s="16">
        <f>C251+B252</f>
        <v>1217028</v>
      </c>
      <c r="D252" s="205">
        <v>247</v>
      </c>
      <c r="E252" s="206">
        <f>E251+D252</f>
        <v>32759</v>
      </c>
      <c r="F252" s="207">
        <v>1030137</v>
      </c>
      <c r="G252" s="206">
        <v>4713</v>
      </c>
      <c r="H252" s="206">
        <v>28900</v>
      </c>
      <c r="I252" s="206">
        <f>I251+H252</f>
        <v>3368647</v>
      </c>
      <c r="J252" s="208">
        <v>2667</v>
      </c>
      <c r="K252" s="208">
        <v>1516132</v>
      </c>
      <c r="L252" s="206">
        <f>K252+J252</f>
        <v>1518799</v>
      </c>
      <c r="M252" s="208">
        <v>9294</v>
      </c>
      <c r="N252" s="208">
        <v>237018</v>
      </c>
      <c r="O252" s="208">
        <v>851916</v>
      </c>
      <c r="P252" s="206">
        <f>C252-M252-N252-O252</f>
        <v>118800</v>
      </c>
      <c r="Q252" s="207">
        <f>F252-F251</f>
        <v>12490</v>
      </c>
      <c r="R252" s="79">
        <f>G252-G251</f>
        <v>-103</v>
      </c>
      <c r="S252" s="4"/>
      <c r="T252" s="213"/>
      <c r="U252" s="146">
        <f>(C252-C245)/C245</f>
        <v>6.4021682112257394E-2</v>
      </c>
      <c r="V252" s="95">
        <f>C239*0.03</f>
        <v>32081.039999999997</v>
      </c>
      <c r="W252" s="213">
        <f>AVERAGE(B246:B252)</f>
        <v>10461.142857142857</v>
      </c>
      <c r="X252" s="36">
        <f>AVERAGE(D246:D252)</f>
        <v>331.14285714285717</v>
      </c>
    </row>
    <row r="253" spans="1:24" x14ac:dyDescent="0.25">
      <c r="A253" s="158">
        <v>44141</v>
      </c>
      <c r="B253" s="16">
        <v>11786</v>
      </c>
      <c r="C253" s="16">
        <f>C252+B253</f>
        <v>1228814</v>
      </c>
      <c r="D253" s="205">
        <v>370</v>
      </c>
      <c r="E253" s="206">
        <f>E252+D253</f>
        <v>33129</v>
      </c>
      <c r="F253" s="207">
        <v>1042237</v>
      </c>
      <c r="G253" s="206">
        <v>4666</v>
      </c>
      <c r="H253" s="206">
        <v>34727</v>
      </c>
      <c r="I253" s="206">
        <f>I252+H253</f>
        <v>3403374</v>
      </c>
      <c r="J253" s="208">
        <v>2702</v>
      </c>
      <c r="K253" s="208">
        <v>1534460</v>
      </c>
      <c r="L253" s="206">
        <f>K253+J253</f>
        <v>1537162</v>
      </c>
      <c r="M253" s="208">
        <v>9349</v>
      </c>
      <c r="N253" s="208">
        <v>239488</v>
      </c>
      <c r="O253" s="208">
        <v>861070</v>
      </c>
      <c r="P253" s="206">
        <f>C253-M253-N253-O253</f>
        <v>118907</v>
      </c>
      <c r="Q253" s="207">
        <f>F253-F252</f>
        <v>12100</v>
      </c>
      <c r="R253" s="79">
        <f>G253-G252</f>
        <v>-47</v>
      </c>
      <c r="S253" s="4"/>
      <c r="T253" s="213"/>
      <c r="U253" s="146">
        <f>(C253-C246)/C246</f>
        <v>6.1904856552011403E-2</v>
      </c>
      <c r="V253" s="95">
        <f>C240*0.03</f>
        <v>32440.079999999998</v>
      </c>
      <c r="W253" s="213">
        <f>AVERAGE(B247:B253)</f>
        <v>10233.571428571429</v>
      </c>
      <c r="X253" s="36">
        <f>AVERAGE(D247:D253)</f>
        <v>334.14285714285717</v>
      </c>
    </row>
    <row r="254" spans="1:24" x14ac:dyDescent="0.25">
      <c r="A254" s="158">
        <v>44142</v>
      </c>
      <c r="B254" s="16">
        <v>8037</v>
      </c>
      <c r="C254" s="16">
        <f>C253+B254</f>
        <v>1236851</v>
      </c>
      <c r="D254" s="205">
        <v>212</v>
      </c>
      <c r="E254" s="206">
        <f>E253+D254</f>
        <v>33341</v>
      </c>
      <c r="F254" s="207">
        <v>1053313</v>
      </c>
      <c r="G254" s="206">
        <v>4593</v>
      </c>
      <c r="H254" s="206">
        <v>37062</v>
      </c>
      <c r="I254" s="206">
        <f>I253+H254</f>
        <v>3440436</v>
      </c>
      <c r="J254" s="208">
        <v>2727</v>
      </c>
      <c r="K254" s="208">
        <v>1559126</v>
      </c>
      <c r="L254" s="211">
        <f>K254+J254</f>
        <v>1561853</v>
      </c>
      <c r="M254" s="244">
        <v>9387</v>
      </c>
      <c r="N254" s="244">
        <v>240865</v>
      </c>
      <c r="O254" s="244">
        <v>866690</v>
      </c>
      <c r="P254" s="211">
        <f>C254-M254-N254-O254</f>
        <v>119909</v>
      </c>
      <c r="Q254" s="212">
        <f>F254-F253</f>
        <v>11076</v>
      </c>
      <c r="R254" s="134">
        <f>G254-G253</f>
        <v>-73</v>
      </c>
      <c r="S254" s="4"/>
      <c r="T254" s="213"/>
      <c r="U254" s="146">
        <f>(C254-C247)/C247</f>
        <v>5.9924211002601709E-2</v>
      </c>
      <c r="V254" s="95">
        <f>C241*0.03</f>
        <v>32717.67</v>
      </c>
      <c r="W254" s="213">
        <f>AVERAGE(B248:B254)</f>
        <v>9989.5714285714294</v>
      </c>
      <c r="X254" s="36">
        <f>AVERAGE(D248:D254)</f>
        <v>334.42857142857144</v>
      </c>
    </row>
    <row r="255" spans="1:24" x14ac:dyDescent="0.25">
      <c r="A255" s="158">
        <v>44143</v>
      </c>
      <c r="B255" s="16">
        <v>5331</v>
      </c>
      <c r="C255" s="16">
        <f>C254+B255</f>
        <v>1242182</v>
      </c>
      <c r="D255" s="205">
        <v>211</v>
      </c>
      <c r="E255" s="206">
        <f>E254+D255</f>
        <v>33552</v>
      </c>
      <c r="F255" s="207">
        <v>1062911</v>
      </c>
      <c r="G255" s="206">
        <v>4608</v>
      </c>
      <c r="H255" s="206">
        <v>14025</v>
      </c>
      <c r="I255" s="206">
        <f>I254+H255</f>
        <v>3454461</v>
      </c>
      <c r="J255" s="208">
        <v>2760</v>
      </c>
      <c r="K255" s="208">
        <v>1566231</v>
      </c>
      <c r="L255" s="206">
        <f>K255+J255</f>
        <v>1568991</v>
      </c>
      <c r="M255" s="208">
        <v>9403</v>
      </c>
      <c r="N255" s="208">
        <v>241673</v>
      </c>
      <c r="O255" s="208">
        <v>871132</v>
      </c>
      <c r="P255" s="206">
        <f>C255-M255-N255-O255</f>
        <v>119974</v>
      </c>
      <c r="Q255" s="207">
        <f>F255-F254</f>
        <v>9598</v>
      </c>
      <c r="R255" s="79">
        <f>G255-G254</f>
        <v>15</v>
      </c>
      <c r="S255" s="4"/>
      <c r="T255" s="213"/>
      <c r="U255" s="146">
        <f>(C255-C248)/C248</f>
        <v>5.8497715871645706E-2</v>
      </c>
      <c r="V255" s="95">
        <f>C242*0.03</f>
        <v>33069.03</v>
      </c>
      <c r="W255" s="213">
        <f>AVERAGE(B249:B255)</f>
        <v>9807</v>
      </c>
      <c r="X255" s="36">
        <f>AVERAGE(D249:D255)</f>
        <v>345.28571428571428</v>
      </c>
    </row>
    <row r="256" spans="1:24" x14ac:dyDescent="0.25">
      <c r="A256" s="158">
        <v>44144</v>
      </c>
      <c r="B256" s="16">
        <v>8317</v>
      </c>
      <c r="C256" s="16">
        <f>C255+B256</f>
        <v>1250499</v>
      </c>
      <c r="D256" s="205">
        <v>348</v>
      </c>
      <c r="E256" s="206">
        <f>E255+D256</f>
        <v>33900</v>
      </c>
      <c r="F256" s="207">
        <v>1073577</v>
      </c>
      <c r="G256" s="206">
        <v>4577</v>
      </c>
      <c r="H256" s="206">
        <v>29570</v>
      </c>
      <c r="I256" s="206">
        <f>I255+H256</f>
        <v>3484031</v>
      </c>
      <c r="J256" s="208">
        <v>2798</v>
      </c>
      <c r="K256" s="208">
        <v>1581460</v>
      </c>
      <c r="L256" s="206">
        <f>K256+J256</f>
        <v>1584258</v>
      </c>
      <c r="M256" s="208">
        <v>9444</v>
      </c>
      <c r="N256" s="208">
        <v>243982</v>
      </c>
      <c r="O256" s="208">
        <v>878724</v>
      </c>
      <c r="P256" s="206">
        <f>C256-M256-N256-O256</f>
        <v>118349</v>
      </c>
      <c r="Q256" s="207">
        <f>F256-F255</f>
        <v>10666</v>
      </c>
      <c r="R256" s="79">
        <f>G256-G255</f>
        <v>-31</v>
      </c>
      <c r="S256" s="4"/>
      <c r="T256" s="213"/>
      <c r="U256" s="146">
        <f>(C256-C249)/C249</f>
        <v>5.6940440238654889E-2</v>
      </c>
      <c r="V256" s="95">
        <f>C243*0.03</f>
        <v>33498.269999999997</v>
      </c>
      <c r="W256" s="213">
        <f>AVERAGE(B250:B256)</f>
        <v>9624</v>
      </c>
      <c r="X256" s="36">
        <f>AVERAGE(D250:D256)</f>
        <v>326.14285714285717</v>
      </c>
    </row>
    <row r="257" spans="1:24" x14ac:dyDescent="0.25">
      <c r="A257" s="158">
        <v>44145</v>
      </c>
      <c r="B257" s="4">
        <v>11977</v>
      </c>
      <c r="C257" s="16">
        <f>C256+B257</f>
        <v>1262476</v>
      </c>
      <c r="D257" s="4">
        <v>279</v>
      </c>
      <c r="E257" s="206">
        <f>E256+D257</f>
        <v>34179</v>
      </c>
      <c r="F257" s="207">
        <v>1081897</v>
      </c>
      <c r="G257" s="4">
        <v>4494</v>
      </c>
      <c r="H257" s="4">
        <v>31535</v>
      </c>
      <c r="I257" s="206">
        <f>I256+H257</f>
        <v>3515566</v>
      </c>
      <c r="J257" s="7">
        <v>2879</v>
      </c>
      <c r="K257" s="7">
        <v>1599337</v>
      </c>
      <c r="L257" s="206">
        <f>K257+J257</f>
        <v>1602216</v>
      </c>
      <c r="M257" s="4">
        <v>9481</v>
      </c>
      <c r="N257" s="4">
        <v>246898</v>
      </c>
      <c r="O257" s="4">
        <v>885833</v>
      </c>
      <c r="P257" s="206">
        <f>C257-M257-N257-O257</f>
        <v>120264</v>
      </c>
      <c r="Q257" s="207">
        <f>F257-F256</f>
        <v>8320</v>
      </c>
      <c r="R257" s="79">
        <f>G257-G256</f>
        <v>-83</v>
      </c>
      <c r="S257" s="4"/>
      <c r="T257" s="213"/>
      <c r="U257" s="146">
        <f>(C257-C250)/C250</f>
        <v>5.6221324614566005E-2</v>
      </c>
      <c r="V257" s="95">
        <f>C244*0.03</f>
        <v>33915.99</v>
      </c>
      <c r="W257" s="213">
        <f>AVERAGE(B251:B257)</f>
        <v>9600</v>
      </c>
      <c r="X257" s="36">
        <f>AVERAGE(D251:D257)</f>
        <v>304.57142857142856</v>
      </c>
    </row>
    <row r="258" spans="1:24" x14ac:dyDescent="0.25">
      <c r="A258" s="158">
        <v>44146</v>
      </c>
      <c r="B258" s="4">
        <v>10880</v>
      </c>
      <c r="C258" s="16">
        <f>C257+B258</f>
        <v>1273356</v>
      </c>
      <c r="D258" s="4">
        <v>348</v>
      </c>
      <c r="E258" s="206">
        <f>E257+D258</f>
        <v>34527</v>
      </c>
      <c r="F258" s="198">
        <v>1089529</v>
      </c>
      <c r="G258" s="4">
        <v>4418</v>
      </c>
      <c r="H258" s="4">
        <v>56473</v>
      </c>
      <c r="I258" s="206">
        <f>I257+H258</f>
        <v>3572039</v>
      </c>
      <c r="J258" s="7">
        <v>2939</v>
      </c>
      <c r="K258" s="7">
        <v>1635003</v>
      </c>
      <c r="L258" s="206">
        <f>K258+J258</f>
        <v>1637942</v>
      </c>
      <c r="M258" s="4">
        <v>9521</v>
      </c>
      <c r="N258" s="4">
        <v>249148</v>
      </c>
      <c r="O258" s="4">
        <v>892532</v>
      </c>
      <c r="P258" s="206">
        <f>C258-M258-N258-O258</f>
        <v>122155</v>
      </c>
      <c r="Q258" s="207">
        <f>F258-F257</f>
        <v>7632</v>
      </c>
      <c r="R258" s="79">
        <f>G258-G257</f>
        <v>-76</v>
      </c>
      <c r="S258" s="4"/>
      <c r="T258" s="213"/>
      <c r="U258" s="146">
        <f>(C258-C251)/C251</f>
        <v>5.5913785897665533E-2</v>
      </c>
      <c r="V258" s="95">
        <f>C245*0.03</f>
        <v>34314</v>
      </c>
      <c r="W258" s="213">
        <f>AVERAGE(B252:B258)</f>
        <v>9632.5714285714294</v>
      </c>
      <c r="X258" s="36">
        <f>AVERAGE(D252:D258)</f>
        <v>287.85714285714283</v>
      </c>
    </row>
    <row r="259" spans="1:24" x14ac:dyDescent="0.25">
      <c r="A259" s="158">
        <v>44147</v>
      </c>
      <c r="B259" s="4">
        <v>11163</v>
      </c>
      <c r="C259" s="16">
        <f>C258+B259</f>
        <v>1284519</v>
      </c>
      <c r="D259" s="4">
        <v>250</v>
      </c>
      <c r="E259" s="206">
        <f>E258+D259</f>
        <v>34777</v>
      </c>
      <c r="F259" s="198">
        <v>1100180</v>
      </c>
      <c r="G259" s="4">
        <v>4397</v>
      </c>
      <c r="H259" s="4">
        <v>31520</v>
      </c>
      <c r="I259" s="206">
        <f>I258+H259</f>
        <v>3603559</v>
      </c>
      <c r="J259" s="7">
        <v>2991</v>
      </c>
      <c r="K259" s="7">
        <v>1655824</v>
      </c>
      <c r="L259" s="206">
        <f>K259+J259</f>
        <v>1658815</v>
      </c>
      <c r="M259" s="4">
        <v>9553</v>
      </c>
      <c r="N259" s="4">
        <v>251515</v>
      </c>
      <c r="O259" s="4">
        <v>901700</v>
      </c>
      <c r="P259" s="206">
        <f>C259-M259-N259-O259</f>
        <v>121751</v>
      </c>
      <c r="Q259" s="207">
        <f>F259-F258</f>
        <v>10651</v>
      </c>
      <c r="R259" s="79">
        <f>G259-G258</f>
        <v>-21</v>
      </c>
      <c r="S259" s="4"/>
      <c r="T259" s="213"/>
      <c r="U259" s="146">
        <f>(C259-C252)/C252</f>
        <v>5.5455585245368227E-2</v>
      </c>
      <c r="V259" s="95">
        <f>C246*0.03</f>
        <v>34715.369999999995</v>
      </c>
      <c r="W259" s="213">
        <f>AVERAGE(B253:B259)</f>
        <v>9641.5714285714294</v>
      </c>
      <c r="X259" s="36">
        <f>AVERAGE(D253:D259)</f>
        <v>288.28571428571428</v>
      </c>
    </row>
    <row r="260" spans="1:24" x14ac:dyDescent="0.25">
      <c r="A260" s="158">
        <v>44148</v>
      </c>
      <c r="B260" s="4">
        <v>11859</v>
      </c>
      <c r="C260" s="16">
        <f>C259+B260</f>
        <v>1296378</v>
      </c>
      <c r="D260" s="4">
        <v>264</v>
      </c>
      <c r="E260" s="16">
        <f>E259+D260</f>
        <v>35041</v>
      </c>
      <c r="F260" s="198">
        <v>1110477</v>
      </c>
      <c r="G260" s="4">
        <v>4381</v>
      </c>
      <c r="H260" s="4">
        <v>31738</v>
      </c>
      <c r="I260" s="16">
        <f>I259+H260</f>
        <v>3635297</v>
      </c>
      <c r="J260" s="210">
        <v>3104</v>
      </c>
      <c r="K260" s="210">
        <v>1671421</v>
      </c>
      <c r="L260" s="206">
        <f>K260+J260</f>
        <v>1674525</v>
      </c>
      <c r="M260" s="9">
        <v>9613</v>
      </c>
      <c r="N260" s="9">
        <v>253981</v>
      </c>
      <c r="O260" s="9">
        <v>910204</v>
      </c>
      <c r="P260" s="206">
        <f>C260-M260-N260-O260</f>
        <v>122580</v>
      </c>
      <c r="Q260" s="207">
        <f>F260-F259</f>
        <v>10297</v>
      </c>
      <c r="R260" s="79">
        <f>G260-G259</f>
        <v>-16</v>
      </c>
      <c r="S260" s="4"/>
      <c r="T260" s="213"/>
      <c r="U260" s="146">
        <f>(C260-C253)/C253</f>
        <v>5.4983097523302958E-2</v>
      </c>
      <c r="V260" s="95">
        <f>C247*0.03</f>
        <v>35007.72</v>
      </c>
      <c r="W260" s="213">
        <f>AVERAGE(B254:B260)</f>
        <v>9652</v>
      </c>
      <c r="X260" s="36">
        <f>AVERAGE(D254:D260)</f>
        <v>273.14285714285717</v>
      </c>
    </row>
    <row r="261" spans="1:24" x14ac:dyDescent="0.25">
      <c r="A261" s="158">
        <v>44149</v>
      </c>
      <c r="B261" s="4">
        <v>8468</v>
      </c>
      <c r="C261" s="16">
        <f>C260+B261</f>
        <v>1304846</v>
      </c>
      <c r="D261" s="4">
        <v>262</v>
      </c>
      <c r="E261" s="16">
        <f>E260+D261</f>
        <v>35303</v>
      </c>
      <c r="F261" s="198">
        <v>1119366</v>
      </c>
      <c r="G261" s="4">
        <v>4346</v>
      </c>
      <c r="H261" s="4">
        <v>25314</v>
      </c>
      <c r="I261" s="16">
        <f>I260+H261</f>
        <v>3660611</v>
      </c>
      <c r="J261" s="9">
        <v>3156</v>
      </c>
      <c r="K261" s="9">
        <v>1683861</v>
      </c>
      <c r="L261" s="206">
        <f>K261+J261</f>
        <v>1687017</v>
      </c>
      <c r="M261" s="9">
        <v>9646</v>
      </c>
      <c r="N261" s="9">
        <v>255493</v>
      </c>
      <c r="O261" s="9">
        <v>915339</v>
      </c>
      <c r="P261" s="206">
        <f>C261-M261-N261-O261</f>
        <v>124368</v>
      </c>
      <c r="Q261" s="207">
        <f>F261-F260</f>
        <v>8889</v>
      </c>
      <c r="R261" s="79">
        <f>G261-G260</f>
        <v>-35</v>
      </c>
      <c r="S261" s="4"/>
      <c r="T261" s="213"/>
      <c r="U261" s="146">
        <f>(C261-C254)/C254</f>
        <v>5.497428550407446E-2</v>
      </c>
      <c r="V261" s="95">
        <f>C248*0.03</f>
        <v>35205.99</v>
      </c>
      <c r="W261" s="213">
        <f>AVERAGE(B255:B261)</f>
        <v>9713.5714285714294</v>
      </c>
      <c r="X261" s="36">
        <f>AVERAGE(D255:D261)</f>
        <v>280.28571428571428</v>
      </c>
    </row>
    <row r="262" spans="1:24" x14ac:dyDescent="0.25">
      <c r="A262" s="158">
        <v>44150</v>
      </c>
      <c r="B262" s="16">
        <v>5645</v>
      </c>
      <c r="C262" s="16">
        <f>C261+B262</f>
        <v>1310491</v>
      </c>
      <c r="D262" s="4">
        <v>128</v>
      </c>
      <c r="E262" s="16">
        <f>E261+D262</f>
        <v>35431</v>
      </c>
      <c r="F262" s="198">
        <v>1129102</v>
      </c>
      <c r="G262" s="4">
        <v>4365</v>
      </c>
      <c r="H262" s="4">
        <v>17718</v>
      </c>
      <c r="I262" s="16">
        <f>I261+H262</f>
        <v>3678329</v>
      </c>
      <c r="J262" s="9">
        <v>3168</v>
      </c>
      <c r="K262" s="9">
        <v>1693448</v>
      </c>
      <c r="L262" s="206">
        <f>K262+J262</f>
        <v>1696616</v>
      </c>
      <c r="M262" s="9">
        <v>9672</v>
      </c>
      <c r="N262" s="9">
        <v>256696</v>
      </c>
      <c r="O262" s="9">
        <v>918729</v>
      </c>
      <c r="P262" s="206">
        <f>C262-M262-N262-O262</f>
        <v>125394</v>
      </c>
      <c r="Q262" s="207">
        <f>F262-F261</f>
        <v>9736</v>
      </c>
      <c r="R262" s="79">
        <f>G262-G261</f>
        <v>19</v>
      </c>
      <c r="S262" s="4"/>
      <c r="T262" s="220">
        <v>2.7E-2</v>
      </c>
      <c r="U262" s="146">
        <f>(C262-C255)/C255</f>
        <v>5.499113656452919E-2</v>
      </c>
      <c r="V262" s="95">
        <f>C249*0.03</f>
        <v>35493.93</v>
      </c>
      <c r="W262" s="213">
        <f>AVERAGE(B256:B262)</f>
        <v>9758.4285714285706</v>
      </c>
      <c r="X262" s="36">
        <f>AVERAGE(D256:D262)</f>
        <v>268.42857142857144</v>
      </c>
    </row>
    <row r="263" spans="1:24" x14ac:dyDescent="0.25">
      <c r="A263" s="158">
        <v>44151</v>
      </c>
      <c r="B263" s="4">
        <v>7893</v>
      </c>
      <c r="C263" s="16">
        <f>C262+B263</f>
        <v>1318384</v>
      </c>
      <c r="D263" s="4">
        <v>292</v>
      </c>
      <c r="E263" s="16">
        <f>E262+D263</f>
        <v>35723</v>
      </c>
      <c r="F263" s="198">
        <v>1140196</v>
      </c>
      <c r="G263" s="4">
        <v>4322</v>
      </c>
      <c r="H263" s="4">
        <v>21572</v>
      </c>
      <c r="I263" s="16">
        <f>I262+H263</f>
        <v>3699901</v>
      </c>
      <c r="J263" s="7">
        <v>3225</v>
      </c>
      <c r="K263" s="7">
        <v>1704129</v>
      </c>
      <c r="L263" s="206">
        <f>K263+J263</f>
        <v>1707354</v>
      </c>
      <c r="M263" s="4">
        <v>9692</v>
      </c>
      <c r="N263" s="4">
        <v>258870</v>
      </c>
      <c r="O263" s="4">
        <v>926820</v>
      </c>
      <c r="P263" s="206">
        <f>C263-M263-N263-O263</f>
        <v>123002</v>
      </c>
      <c r="Q263" s="207">
        <f>F263-F262</f>
        <v>11094</v>
      </c>
      <c r="R263" s="79">
        <f>G263-G262</f>
        <v>-43</v>
      </c>
      <c r="S263" s="4"/>
      <c r="T263" s="220">
        <v>2.7E-2</v>
      </c>
      <c r="U263" s="146">
        <f>(C263-C256)/C256</f>
        <v>5.4286328897504114E-2</v>
      </c>
      <c r="V263" s="95">
        <f>C250*0.03</f>
        <v>35858.28</v>
      </c>
      <c r="W263" s="213">
        <f>AVERAGE(B257:B263)</f>
        <v>9697.8571428571431</v>
      </c>
      <c r="X263" s="36">
        <f>AVERAGE(D257:D263)</f>
        <v>260.42857142857144</v>
      </c>
    </row>
    <row r="264" spans="1:24" x14ac:dyDescent="0.25">
      <c r="A264" s="158">
        <v>44152</v>
      </c>
      <c r="B264" s="4">
        <v>10621</v>
      </c>
      <c r="C264" s="16">
        <f>C263+B264</f>
        <v>1329005</v>
      </c>
      <c r="D264" s="4">
        <v>379</v>
      </c>
      <c r="E264" s="16">
        <f>E263+D264</f>
        <v>36102</v>
      </c>
      <c r="F264" s="198">
        <v>1148833</v>
      </c>
      <c r="G264" s="4">
        <v>4379</v>
      </c>
      <c r="H264" s="4">
        <v>34573</v>
      </c>
      <c r="I264" s="16">
        <f>I263+H264</f>
        <v>3734474</v>
      </c>
      <c r="J264" s="7">
        <v>3279</v>
      </c>
      <c r="K264" s="7">
        <v>1716729</v>
      </c>
      <c r="L264" s="206">
        <f>K264+J264</f>
        <v>1720008</v>
      </c>
      <c r="M264" s="4">
        <v>9722</v>
      </c>
      <c r="N264" s="4">
        <v>261348</v>
      </c>
      <c r="O264" s="4">
        <v>934997</v>
      </c>
      <c r="P264" s="206">
        <f>C264-M264-N264-O264</f>
        <v>122938</v>
      </c>
      <c r="Q264" s="207">
        <f>F264-F263</f>
        <v>8637</v>
      </c>
      <c r="R264" s="79">
        <f>G264-G263</f>
        <v>57</v>
      </c>
      <c r="S264" s="4"/>
      <c r="T264" s="220">
        <v>2.7E-2</v>
      </c>
      <c r="U264" s="146">
        <f>(C264-C257)/C257</f>
        <v>5.2697239393065691E-2</v>
      </c>
      <c r="V264" s="95">
        <f>C251*0.03</f>
        <v>36177.839999999997</v>
      </c>
      <c r="W264" s="213">
        <f>AVERAGE(B258:B264)</f>
        <v>9504.1428571428569</v>
      </c>
      <c r="X264" s="36">
        <f>AVERAGE(D258:D264)</f>
        <v>274.71428571428572</v>
      </c>
    </row>
    <row r="265" spans="1:24" x14ac:dyDescent="0.25">
      <c r="A265" s="158">
        <v>44153</v>
      </c>
      <c r="B265" s="4">
        <v>10332</v>
      </c>
      <c r="C265" s="16">
        <f>C264+B265</f>
        <v>1339337</v>
      </c>
      <c r="D265" s="4">
        <v>241</v>
      </c>
      <c r="E265" s="16">
        <f>E264+D265</f>
        <v>36343</v>
      </c>
      <c r="F265" s="198">
        <v>1156474</v>
      </c>
      <c r="G265" s="4">
        <v>4267</v>
      </c>
      <c r="H265" s="4">
        <v>34573</v>
      </c>
      <c r="I265" s="16">
        <f>I264+H265</f>
        <v>3769047</v>
      </c>
      <c r="J265" s="7">
        <v>3346</v>
      </c>
      <c r="K265" s="7">
        <v>1734731</v>
      </c>
      <c r="L265" s="206">
        <f>K265+J265</f>
        <v>1738077</v>
      </c>
      <c r="M265" s="4">
        <v>9766</v>
      </c>
      <c r="N265" s="4">
        <v>264014</v>
      </c>
      <c r="O265" s="4">
        <v>943339</v>
      </c>
      <c r="P265" s="206">
        <f>C265-M265-N265-O265</f>
        <v>122218</v>
      </c>
      <c r="Q265" s="207">
        <f>F265-F264</f>
        <v>7641</v>
      </c>
      <c r="R265" s="79">
        <f>G265-G264</f>
        <v>-112</v>
      </c>
      <c r="S265" s="4"/>
      <c r="T265" s="220">
        <v>2.7E-2</v>
      </c>
      <c r="U265" s="146">
        <f>(C265-C258)/C258</f>
        <v>5.1816616876977056E-2</v>
      </c>
      <c r="V265" s="95">
        <f>C252*0.03</f>
        <v>36510.839999999997</v>
      </c>
      <c r="W265" s="213">
        <f>AVERAGE(B259:B265)</f>
        <v>9425.8571428571431</v>
      </c>
      <c r="X265" s="36">
        <f>AVERAGE(D259:D265)</f>
        <v>259.42857142857144</v>
      </c>
    </row>
    <row r="266" spans="1:24" x14ac:dyDescent="0.25">
      <c r="A266" s="158">
        <v>44154</v>
      </c>
      <c r="B266" s="4">
        <v>10097</v>
      </c>
      <c r="C266" s="16">
        <f>C265+B266</f>
        <v>1349434</v>
      </c>
      <c r="D266" s="4">
        <v>184</v>
      </c>
      <c r="E266" s="16">
        <f>E265+D266</f>
        <v>36527</v>
      </c>
      <c r="F266" s="198">
        <v>1167514</v>
      </c>
      <c r="G266" s="4">
        <v>4292</v>
      </c>
      <c r="H266" s="4">
        <v>48691</v>
      </c>
      <c r="I266" s="16">
        <f>I265+H266</f>
        <v>3817738</v>
      </c>
      <c r="J266" s="7">
        <v>3474</v>
      </c>
      <c r="K266" s="7">
        <v>1767560</v>
      </c>
      <c r="L266" s="206">
        <f>K266+J266</f>
        <v>1771034</v>
      </c>
      <c r="M266" s="4">
        <v>9802</v>
      </c>
      <c r="N266" s="4">
        <v>266642</v>
      </c>
      <c r="O266" s="4">
        <v>951081</v>
      </c>
      <c r="P266" s="206">
        <f>C266-M266-N266-O266</f>
        <v>121909</v>
      </c>
      <c r="Q266" s="207">
        <f>F266-F265</f>
        <v>11040</v>
      </c>
      <c r="R266" s="79">
        <f>G266-G265</f>
        <v>25</v>
      </c>
      <c r="S266" s="4"/>
      <c r="T266" s="220">
        <v>2.7E-2</v>
      </c>
      <c r="U266" s="146">
        <f>(C266-C259)/C259</f>
        <v>5.0536426475591249E-2</v>
      </c>
      <c r="V266" s="95">
        <f>C253*0.03</f>
        <v>36864.42</v>
      </c>
      <c r="W266" s="213">
        <f>AVERAGE(B260:B266)</f>
        <v>9273.5714285714294</v>
      </c>
      <c r="X266" s="36">
        <f>AVERAGE(D260:D266)</f>
        <v>250</v>
      </c>
    </row>
    <row r="267" spans="1:24" x14ac:dyDescent="0.25">
      <c r="A267" s="158">
        <v>44155</v>
      </c>
      <c r="B267" s="4">
        <v>9608</v>
      </c>
      <c r="C267" s="16">
        <f>C266+B267</f>
        <v>1359042</v>
      </c>
      <c r="D267" s="4">
        <v>261</v>
      </c>
      <c r="E267" s="16">
        <f>E266+D267</f>
        <v>36788</v>
      </c>
      <c r="F267" s="198">
        <v>1177819</v>
      </c>
      <c r="G267" s="4">
        <v>4187</v>
      </c>
      <c r="H267" s="4">
        <v>37816</v>
      </c>
      <c r="I267" s="16">
        <f>I266+H267</f>
        <v>3855554</v>
      </c>
      <c r="J267" s="7">
        <v>3601</v>
      </c>
      <c r="K267" s="7">
        <v>1789964</v>
      </c>
      <c r="L267" s="206">
        <f>K267+J267</f>
        <v>1793565</v>
      </c>
      <c r="M267" s="4">
        <v>9840</v>
      </c>
      <c r="N267" s="4">
        <v>268940</v>
      </c>
      <c r="O267" s="4">
        <v>957937</v>
      </c>
      <c r="P267" s="206">
        <f>C267-M267-N267-O267</f>
        <v>122325</v>
      </c>
      <c r="Q267" s="207">
        <f>F267-F266</f>
        <v>10305</v>
      </c>
      <c r="R267" s="79">
        <f>G267-G266</f>
        <v>-105</v>
      </c>
      <c r="S267" s="4"/>
      <c r="T267" s="220">
        <v>2.7E-2</v>
      </c>
      <c r="U267" s="146">
        <f>(C267-C260)/C260</f>
        <v>4.8337753340460886E-2</v>
      </c>
      <c r="V267" s="95">
        <f>C254*0.03</f>
        <v>37105.53</v>
      </c>
      <c r="W267" s="213">
        <f>AVERAGE(B261:B267)</f>
        <v>8952</v>
      </c>
      <c r="X267" s="36">
        <f>AVERAGE(D261:D267)</f>
        <v>249.57142857142858</v>
      </c>
    </row>
    <row r="268" spans="1:24" x14ac:dyDescent="0.25">
      <c r="A268" s="158">
        <v>44156</v>
      </c>
      <c r="B268" s="4">
        <v>7140</v>
      </c>
      <c r="C268" s="16">
        <f>C267+B268</f>
        <v>1366182</v>
      </c>
      <c r="D268" s="4">
        <v>112</v>
      </c>
      <c r="E268" s="16">
        <f>E267+D268</f>
        <v>36900</v>
      </c>
      <c r="F268" s="198">
        <v>1187053</v>
      </c>
      <c r="G268" s="4">
        <v>4132</v>
      </c>
      <c r="H268" s="4">
        <v>39055</v>
      </c>
      <c r="I268" s="16">
        <v>3661948</v>
      </c>
      <c r="J268" s="7">
        <v>3625</v>
      </c>
      <c r="K268" s="7">
        <v>1815364</v>
      </c>
      <c r="L268" s="206">
        <f>K268+J268</f>
        <v>1818989</v>
      </c>
      <c r="M268" s="4">
        <v>9862</v>
      </c>
      <c r="N268" s="4">
        <v>270149</v>
      </c>
      <c r="O268" s="4">
        <v>962192</v>
      </c>
      <c r="P268" s="206">
        <f>C268-M268-N268-O268</f>
        <v>123979</v>
      </c>
      <c r="Q268" s="207">
        <f>F268-F267</f>
        <v>9234</v>
      </c>
      <c r="R268" s="79">
        <f>G268-G267</f>
        <v>-55</v>
      </c>
      <c r="S268" s="4"/>
      <c r="T268" s="220">
        <v>2.7E-2</v>
      </c>
      <c r="U268" s="146">
        <f>(C268-C261)/C261</f>
        <v>4.7006313388706408E-2</v>
      </c>
      <c r="V268" s="95">
        <f>C255*0.03</f>
        <v>37265.46</v>
      </c>
      <c r="W268" s="213">
        <f>AVERAGE(B262:B268)</f>
        <v>8762.2857142857138</v>
      </c>
      <c r="X268" s="36">
        <f>AVERAGE(D262:D268)</f>
        <v>228.14285714285714</v>
      </c>
    </row>
    <row r="269" spans="1:24" x14ac:dyDescent="0.25">
      <c r="A269" s="158">
        <v>44157</v>
      </c>
      <c r="B269" s="4">
        <v>4184</v>
      </c>
      <c r="C269" s="16">
        <f>C268+B269</f>
        <v>1370366</v>
      </c>
      <c r="D269" s="4">
        <v>100</v>
      </c>
      <c r="E269" s="16">
        <f>E268+D269</f>
        <v>37000</v>
      </c>
      <c r="F269" s="198">
        <v>1195492</v>
      </c>
      <c r="G269" s="4">
        <v>4245</v>
      </c>
      <c r="H269" s="4">
        <v>15740</v>
      </c>
      <c r="I269" s="4">
        <v>3677688</v>
      </c>
      <c r="J269" s="7">
        <v>3691</v>
      </c>
      <c r="K269" s="7">
        <v>1823849</v>
      </c>
      <c r="L269" s="206">
        <f>K269+J269</f>
        <v>1827540</v>
      </c>
      <c r="M269" s="4">
        <v>9876</v>
      </c>
      <c r="N269" s="4">
        <v>270893</v>
      </c>
      <c r="O269" s="4">
        <v>965274</v>
      </c>
      <c r="P269" s="206">
        <f>C269-M269-N269-O269</f>
        <v>124323</v>
      </c>
      <c r="Q269" s="207">
        <f>F269-F268</f>
        <v>8439</v>
      </c>
      <c r="R269" s="79">
        <f>G269-G268</f>
        <v>113</v>
      </c>
      <c r="S269" s="4"/>
      <c r="T269" s="220">
        <v>2.7E-2</v>
      </c>
      <c r="U269" s="146">
        <f>(C269-C262)/C262</f>
        <v>4.5688982221167483E-2</v>
      </c>
      <c r="V269" s="95">
        <f>C256*0.03</f>
        <v>37514.97</v>
      </c>
      <c r="W269" s="213">
        <f>AVERAGE(B263:B269)</f>
        <v>8553.5714285714294</v>
      </c>
      <c r="X269" s="36">
        <f>AVERAGE(D263:D269)</f>
        <v>224.14285714285714</v>
      </c>
    </row>
    <row r="270" spans="1:24" x14ac:dyDescent="0.25">
      <c r="A270" s="158">
        <v>44158</v>
      </c>
      <c r="B270" s="4">
        <v>4265</v>
      </c>
      <c r="C270" s="16">
        <f>C269+B270</f>
        <v>1374631</v>
      </c>
      <c r="D270" s="4">
        <v>119</v>
      </c>
      <c r="E270" s="16">
        <f>E269+D270</f>
        <v>37119</v>
      </c>
      <c r="F270" s="198">
        <v>1203800</v>
      </c>
      <c r="G270" s="4">
        <v>4165</v>
      </c>
      <c r="H270" s="4">
        <v>13149</v>
      </c>
      <c r="I270" s="4">
        <f>I269+H270</f>
        <v>3690837</v>
      </c>
      <c r="J270" s="7">
        <v>3798</v>
      </c>
      <c r="K270" s="7">
        <v>1830584</v>
      </c>
      <c r="L270" s="206">
        <f>K270+J270</f>
        <v>1834382</v>
      </c>
      <c r="M270" s="4">
        <v>9894</v>
      </c>
      <c r="N270" s="4">
        <v>272054</v>
      </c>
      <c r="O270" s="4">
        <v>972396</v>
      </c>
      <c r="P270" s="206">
        <f>C270-M270-N270-O270</f>
        <v>120287</v>
      </c>
      <c r="Q270" s="207">
        <f>F270-F269</f>
        <v>8308</v>
      </c>
      <c r="R270" s="79">
        <f>G270-G269</f>
        <v>-80</v>
      </c>
      <c r="S270" s="4"/>
      <c r="T270" s="220">
        <v>2.7E-2</v>
      </c>
      <c r="U270" s="146">
        <f>(C270-C263)/C263</f>
        <v>4.2663594218376434E-2</v>
      </c>
      <c r="V270" s="95">
        <f>C257*0.03</f>
        <v>37874.28</v>
      </c>
      <c r="W270" s="213">
        <f>AVERAGE(B264:B270)</f>
        <v>8035.2857142857147</v>
      </c>
      <c r="X270" s="36">
        <f>AVERAGE(D264:D270)</f>
        <v>199.42857142857142</v>
      </c>
    </row>
    <row r="271" spans="1:24" x14ac:dyDescent="0.25">
      <c r="A271" s="158">
        <v>44159</v>
      </c>
      <c r="B271" s="4">
        <v>7164</v>
      </c>
      <c r="C271" s="16">
        <f>C270+B271</f>
        <v>1381795</v>
      </c>
      <c r="D271" s="4">
        <v>311</v>
      </c>
      <c r="E271" s="16">
        <f>E270+D271</f>
        <v>37430</v>
      </c>
      <c r="F271" s="198">
        <v>1210634</v>
      </c>
      <c r="G271" s="4">
        <v>4148</v>
      </c>
      <c r="H271" s="4">
        <v>22043</v>
      </c>
      <c r="I271" s="4">
        <f>I270+H271</f>
        <v>3712880</v>
      </c>
      <c r="J271" s="9">
        <v>3828</v>
      </c>
      <c r="K271" s="9">
        <v>1842058</v>
      </c>
      <c r="L271" s="206">
        <f>K271+J271</f>
        <v>1845886</v>
      </c>
      <c r="M271" s="4">
        <v>9912</v>
      </c>
      <c r="N271" s="4">
        <v>273939</v>
      </c>
      <c r="O271" s="4">
        <v>979797</v>
      </c>
      <c r="P271" s="206">
        <f>C271-M271-N271-O271</f>
        <v>118147</v>
      </c>
      <c r="Q271" s="207">
        <f>F271-F270</f>
        <v>6834</v>
      </c>
      <c r="R271" s="79">
        <f>G271-G270</f>
        <v>-17</v>
      </c>
      <c r="S271" s="4"/>
      <c r="T271" s="220">
        <v>2.7E-2</v>
      </c>
      <c r="U271" s="146">
        <f>(C271-C264)/C264</f>
        <v>3.9721445743244009E-2</v>
      </c>
      <c r="V271" s="95">
        <f>C258*0.03</f>
        <v>38200.68</v>
      </c>
      <c r="W271" s="213">
        <f>AVERAGE(B265:B271)</f>
        <v>7541.4285714285716</v>
      </c>
      <c r="X271" s="36">
        <f>AVERAGE(D265:D271)</f>
        <v>189.71428571428572</v>
      </c>
    </row>
    <row r="272" spans="1:24" x14ac:dyDescent="0.25">
      <c r="A272" s="158">
        <v>44160</v>
      </c>
      <c r="B272" s="4">
        <v>8593</v>
      </c>
      <c r="C272" s="16">
        <f>C271+B272</f>
        <v>1390388</v>
      </c>
      <c r="D272" s="4">
        <v>280</v>
      </c>
      <c r="E272" s="16">
        <f>E271+D272</f>
        <v>37710</v>
      </c>
      <c r="F272" s="198">
        <v>1217284</v>
      </c>
      <c r="G272" s="4">
        <v>4039</v>
      </c>
      <c r="H272" s="4">
        <v>29437</v>
      </c>
      <c r="I272" s="4">
        <f>I271+H272</f>
        <v>3742317</v>
      </c>
      <c r="J272" s="9">
        <v>3872</v>
      </c>
      <c r="K272" s="9">
        <v>1855809</v>
      </c>
      <c r="L272" s="206">
        <f>K272+J272</f>
        <v>1859681</v>
      </c>
      <c r="M272" s="4">
        <v>9949</v>
      </c>
      <c r="N272" s="4">
        <v>275968</v>
      </c>
      <c r="O272" s="4">
        <v>986401</v>
      </c>
      <c r="P272" s="206">
        <f>C272-M272-N272-O272</f>
        <v>118070</v>
      </c>
      <c r="Q272" s="207">
        <f>F272-F271</f>
        <v>6650</v>
      </c>
      <c r="R272" s="79">
        <f>G272-G271</f>
        <v>-109</v>
      </c>
      <c r="S272" s="4"/>
      <c r="T272" s="220">
        <v>2.7E-2</v>
      </c>
      <c r="U272" s="146">
        <f>(C272-C265)/C265</f>
        <v>3.8116620387549961E-2</v>
      </c>
      <c r="V272" s="95">
        <f>C259*0.03</f>
        <v>38535.57</v>
      </c>
      <c r="W272" s="213">
        <f>AVERAGE(B266:B272)</f>
        <v>7293</v>
      </c>
      <c r="X272" s="36">
        <f>AVERAGE(D266:D272)</f>
        <v>195.28571428571428</v>
      </c>
    </row>
    <row r="273" spans="1:24" x14ac:dyDescent="0.25">
      <c r="A273" s="158">
        <v>44161</v>
      </c>
      <c r="B273" s="4">
        <v>9043</v>
      </c>
      <c r="C273" s="16">
        <f>C272+B273</f>
        <v>1399431</v>
      </c>
      <c r="D273" s="4">
        <v>229</v>
      </c>
      <c r="E273" s="16">
        <f>E272+D273</f>
        <v>37939</v>
      </c>
      <c r="F273" s="198">
        <v>1226662</v>
      </c>
      <c r="G273" s="4">
        <v>3960</v>
      </c>
      <c r="H273" s="4">
        <v>32781</v>
      </c>
      <c r="I273" s="4">
        <f>I272+H273</f>
        <v>3775098</v>
      </c>
      <c r="J273" s="9">
        <v>3941</v>
      </c>
      <c r="K273" s="9">
        <v>1871509</v>
      </c>
      <c r="L273" s="206">
        <f>K273+J273</f>
        <v>1875450</v>
      </c>
      <c r="M273" s="4">
        <v>9979</v>
      </c>
      <c r="N273" s="4">
        <v>278371</v>
      </c>
      <c r="O273" s="4">
        <v>992925</v>
      </c>
      <c r="P273" s="206">
        <f>C273-M273-N273-O273</f>
        <v>118156</v>
      </c>
      <c r="Q273" s="207">
        <f>F273-F272</f>
        <v>9378</v>
      </c>
      <c r="R273" s="79">
        <f>G273-G272</f>
        <v>-79</v>
      </c>
      <c r="S273" s="4"/>
      <c r="T273" s="220">
        <v>2.7E-2</v>
      </c>
      <c r="U273" s="146">
        <f>(C273-C266)/C266</f>
        <v>3.7050348516489133E-2</v>
      </c>
      <c r="V273" s="95">
        <f>C260*0.03</f>
        <v>38891.339999999997</v>
      </c>
      <c r="W273" s="213">
        <f>AVERAGE(B267:B273)</f>
        <v>7142.4285714285716</v>
      </c>
      <c r="X273" s="36">
        <f>AVERAGE(D267:D273)</f>
        <v>201.71428571428572</v>
      </c>
    </row>
    <row r="274" spans="1:24" x14ac:dyDescent="0.25">
      <c r="A274" s="158">
        <v>44162</v>
      </c>
      <c r="B274" s="4">
        <v>7846</v>
      </c>
      <c r="C274" s="16">
        <f>C273+B274</f>
        <v>1407277</v>
      </c>
      <c r="D274" s="4">
        <v>275</v>
      </c>
      <c r="E274" s="16">
        <f>E273+D274</f>
        <v>38214</v>
      </c>
      <c r="F274" s="198">
        <v>1235257</v>
      </c>
      <c r="G274" s="4">
        <v>4120</v>
      </c>
      <c r="H274" s="4">
        <v>55323</v>
      </c>
      <c r="I274" s="4">
        <f>I273+H274</f>
        <v>3830421</v>
      </c>
      <c r="J274" s="7">
        <v>4020</v>
      </c>
      <c r="K274" s="9">
        <v>1912056</v>
      </c>
      <c r="L274" s="206">
        <f>K274+J274</f>
        <v>1916076</v>
      </c>
      <c r="M274" s="4">
        <v>10016</v>
      </c>
      <c r="N274" s="4">
        <v>280344</v>
      </c>
      <c r="O274" s="4">
        <v>999456</v>
      </c>
      <c r="P274" s="206">
        <f>C274-M274-N274-O274</f>
        <v>117461</v>
      </c>
      <c r="Q274" s="207">
        <f>F274-F273</f>
        <v>8595</v>
      </c>
      <c r="R274" s="79">
        <f>G274-G273</f>
        <v>160</v>
      </c>
      <c r="S274" s="4"/>
      <c r="T274" s="220">
        <v>2.7E-2</v>
      </c>
      <c r="U274" s="146">
        <f>(C274-C267)/C267</f>
        <v>3.5491912685553503E-2</v>
      </c>
      <c r="V274" s="95">
        <f>C261*0.03</f>
        <v>39145.379999999997</v>
      </c>
      <c r="W274" s="213">
        <f>AVERAGE(B268:B274)</f>
        <v>6890.7142857142853</v>
      </c>
      <c r="X274" s="36">
        <f>AVERAGE(D268:D274)</f>
        <v>203.71428571428572</v>
      </c>
    </row>
    <row r="275" spans="1:24" x14ac:dyDescent="0.25">
      <c r="A275" s="158">
        <v>44163</v>
      </c>
      <c r="B275" s="4">
        <v>6098</v>
      </c>
      <c r="C275" s="16">
        <f>C274+B275</f>
        <v>1413375</v>
      </c>
      <c r="D275" s="4">
        <v>106</v>
      </c>
      <c r="E275" s="16">
        <f>E274+D275</f>
        <v>38320</v>
      </c>
      <c r="F275" s="198">
        <v>1242877</v>
      </c>
      <c r="G275" s="4">
        <v>4021</v>
      </c>
      <c r="H275" s="4">
        <v>25472</v>
      </c>
      <c r="I275" s="4">
        <f>I274+H275</f>
        <v>3855893</v>
      </c>
      <c r="J275" s="7">
        <v>4105</v>
      </c>
      <c r="K275" s="9">
        <v>1926130</v>
      </c>
      <c r="L275" s="206">
        <f>K275+J275</f>
        <v>1930235</v>
      </c>
      <c r="M275" s="4">
        <v>10046</v>
      </c>
      <c r="N275" s="4">
        <v>281257</v>
      </c>
      <c r="O275" s="4">
        <v>1003512</v>
      </c>
      <c r="P275" s="206">
        <f>C275-M275-N275-O275</f>
        <v>118560</v>
      </c>
      <c r="Q275" s="207">
        <f>F275-F274</f>
        <v>7620</v>
      </c>
      <c r="R275" s="79">
        <f>G275-G274</f>
        <v>-99</v>
      </c>
      <c r="S275" s="4"/>
      <c r="T275" s="220">
        <v>2.7E-2</v>
      </c>
      <c r="U275" s="146">
        <f>(C275-C268)/C268</f>
        <v>3.4543713795087333E-2</v>
      </c>
      <c r="V275" s="95">
        <f>C262*0.03</f>
        <v>39314.729999999996</v>
      </c>
      <c r="W275" s="213">
        <f>AVERAGE(B269:B275)</f>
        <v>6741.8571428571431</v>
      </c>
      <c r="X275" s="36">
        <f>AVERAGE(D269:D275)</f>
        <v>202.85714285714286</v>
      </c>
    </row>
    <row r="276" spans="1:24" x14ac:dyDescent="0.25">
      <c r="A276" s="158">
        <v>44164</v>
      </c>
      <c r="B276" s="4">
        <v>5432</v>
      </c>
      <c r="C276" s="16">
        <f>C275+B276</f>
        <v>1418807</v>
      </c>
      <c r="D276" s="16">
        <v>151</v>
      </c>
      <c r="E276" s="16">
        <f>E275+D276</f>
        <v>38471</v>
      </c>
      <c r="F276" s="198">
        <v>1249843</v>
      </c>
      <c r="G276" s="4">
        <v>4013</v>
      </c>
      <c r="H276" s="4">
        <v>17338</v>
      </c>
      <c r="I276" s="4">
        <f>I275+H276</f>
        <v>3873231</v>
      </c>
      <c r="J276" s="7">
        <v>4139</v>
      </c>
      <c r="K276" s="7">
        <v>1935553</v>
      </c>
      <c r="L276" s="206">
        <f>K276+J276</f>
        <v>1939692</v>
      </c>
      <c r="M276" s="4">
        <v>10067</v>
      </c>
      <c r="N276" s="4">
        <v>281995</v>
      </c>
      <c r="O276" s="4">
        <v>1006055</v>
      </c>
      <c r="P276" s="206">
        <f>C276-M276-N276-O276</f>
        <v>120690</v>
      </c>
      <c r="Q276" s="207">
        <f>F276-F275</f>
        <v>6966</v>
      </c>
      <c r="R276" s="79">
        <f>G276-G275</f>
        <v>-8</v>
      </c>
      <c r="S276" s="4"/>
      <c r="T276" s="220">
        <v>2.7E-2</v>
      </c>
      <c r="U276" s="146">
        <f>(C276-C269)/C269</f>
        <v>3.5348950572328855E-2</v>
      </c>
      <c r="V276" s="95">
        <f>C263*0.03</f>
        <v>39551.519999999997</v>
      </c>
      <c r="W276" s="213">
        <f>AVERAGE(B270:B276)</f>
        <v>6920.1428571428569</v>
      </c>
      <c r="X276" s="36">
        <f>AVERAGE(D270:D276)</f>
        <v>210.14285714285714</v>
      </c>
    </row>
    <row r="277" spans="1:24" x14ac:dyDescent="0.25">
      <c r="A277" s="158">
        <v>44165</v>
      </c>
      <c r="B277" s="4">
        <v>5726</v>
      </c>
      <c r="C277" s="16">
        <f>C276+B277</f>
        <v>1424533</v>
      </c>
      <c r="D277" s="4">
        <v>257</v>
      </c>
      <c r="E277" s="16">
        <f>E276+D277</f>
        <v>38728</v>
      </c>
      <c r="F277" s="198">
        <v>1257227</v>
      </c>
      <c r="G277" s="4">
        <v>4062</v>
      </c>
      <c r="H277" s="4">
        <v>19291</v>
      </c>
      <c r="I277" s="4">
        <f>I276+H277</f>
        <v>3892522</v>
      </c>
      <c r="J277" s="7">
        <v>4209</v>
      </c>
      <c r="K277" s="7">
        <v>1945524</v>
      </c>
      <c r="L277" s="206">
        <f>K277+J277</f>
        <v>1949733</v>
      </c>
      <c r="M277" s="4">
        <v>10089</v>
      </c>
      <c r="N277" s="4">
        <v>283567</v>
      </c>
      <c r="O277" s="4">
        <v>1009382</v>
      </c>
      <c r="P277" s="206">
        <f>C277-M277-N277-O277</f>
        <v>121495</v>
      </c>
      <c r="Q277" s="207">
        <f>F277-F276</f>
        <v>7384</v>
      </c>
      <c r="R277" s="79">
        <f>G277-G276</f>
        <v>49</v>
      </c>
      <c r="S277" s="4"/>
      <c r="T277" s="220">
        <v>2.7E-2</v>
      </c>
      <c r="U277" s="146">
        <f>(C277-C270)/C270</f>
        <v>3.6302105801484179E-2</v>
      </c>
      <c r="V277" s="95">
        <f>C264*0.03</f>
        <v>39870.15</v>
      </c>
      <c r="W277" s="213">
        <f>AVERAGE(B271:B277)</f>
        <v>7128.8571428571431</v>
      </c>
      <c r="X277" s="36">
        <f>AVERAGE(D271:D277)</f>
        <v>229.85714285714286</v>
      </c>
    </row>
    <row r="278" spans="1:24" x14ac:dyDescent="0.25">
      <c r="A278" s="158">
        <v>44166</v>
      </c>
      <c r="B278" s="4">
        <v>8037</v>
      </c>
      <c r="C278" s="16">
        <f>C277+B278</f>
        <v>1432570</v>
      </c>
      <c r="D278" s="4">
        <v>198</v>
      </c>
      <c r="E278" s="16">
        <f>E277+D278</f>
        <v>38926</v>
      </c>
      <c r="F278" s="198">
        <v>1263251</v>
      </c>
      <c r="G278" s="4">
        <v>3946</v>
      </c>
      <c r="H278" s="4">
        <v>33764</v>
      </c>
      <c r="I278" s="4">
        <f>I277+H278</f>
        <v>3926286</v>
      </c>
      <c r="J278" s="7">
        <v>4328</v>
      </c>
      <c r="K278" s="7">
        <v>1964346</v>
      </c>
      <c r="L278" s="206">
        <f>K278+J278</f>
        <v>1968674</v>
      </c>
      <c r="M278" s="4">
        <v>10120</v>
      </c>
      <c r="N278" s="4">
        <v>285518</v>
      </c>
      <c r="O278" s="4">
        <v>1015923</v>
      </c>
      <c r="P278" s="206">
        <f>C278-M278-N278-O278</f>
        <v>121009</v>
      </c>
      <c r="Q278" s="207">
        <f>F278-F277</f>
        <v>6024</v>
      </c>
      <c r="R278" s="79">
        <f>G278-G277</f>
        <v>-116</v>
      </c>
      <c r="S278" s="4"/>
      <c r="T278" s="220">
        <v>2.7E-2</v>
      </c>
      <c r="U278" s="146">
        <f>(C278-C271)/C271</f>
        <v>3.6745682246642951E-2</v>
      </c>
      <c r="V278" s="95">
        <f>C265*0.03</f>
        <v>40180.11</v>
      </c>
      <c r="W278" s="213">
        <f>AVERAGE(B272:B278)</f>
        <v>7253.5714285714284</v>
      </c>
      <c r="X278" s="36">
        <f>AVERAGE(D272:D278)</f>
        <v>213.71428571428572</v>
      </c>
    </row>
    <row r="279" spans="1:24" x14ac:dyDescent="0.25">
      <c r="A279" s="158">
        <v>44167</v>
      </c>
      <c r="B279" s="152">
        <v>7533</v>
      </c>
      <c r="C279" s="214">
        <f>C278+B279</f>
        <v>1440103</v>
      </c>
      <c r="D279" s="152">
        <v>228</v>
      </c>
      <c r="E279" s="214">
        <f>E278+D279</f>
        <v>39154</v>
      </c>
      <c r="F279" s="198">
        <v>1268358</v>
      </c>
      <c r="G279" s="152">
        <v>3983</v>
      </c>
      <c r="H279" s="152">
        <v>49474</v>
      </c>
      <c r="I279" s="152">
        <f>I278+H279</f>
        <v>3975760</v>
      </c>
      <c r="J279" s="215">
        <v>4476</v>
      </c>
      <c r="K279" s="215">
        <v>2000098</v>
      </c>
      <c r="L279" s="216">
        <f>K279+J279</f>
        <v>2004574</v>
      </c>
      <c r="M279" s="152">
        <v>10155</v>
      </c>
      <c r="N279" s="152">
        <v>287233</v>
      </c>
      <c r="O279" s="152">
        <v>1022204</v>
      </c>
      <c r="P279" s="216">
        <f>C279-M279-N279-O279</f>
        <v>120511</v>
      </c>
      <c r="Q279" s="216">
        <f>F279-F278</f>
        <v>5107</v>
      </c>
      <c r="R279" s="217">
        <f>G279-G278</f>
        <v>37</v>
      </c>
      <c r="S279" s="4"/>
      <c r="T279" s="220">
        <v>2.7E-2</v>
      </c>
      <c r="U279" s="146">
        <f>(C279-C272)/C272</f>
        <v>3.5756206181296157E-2</v>
      </c>
      <c r="V279" s="95">
        <f>C266*0.03</f>
        <v>40483.019999999997</v>
      </c>
      <c r="W279" s="213">
        <f>AVERAGE(B273:B279)</f>
        <v>7102.1428571428569</v>
      </c>
      <c r="X279" s="36">
        <f>AVERAGE(D273:D279)</f>
        <v>206.28571428571428</v>
      </c>
    </row>
    <row r="280" spans="1:24" x14ac:dyDescent="0.25">
      <c r="A280" s="158">
        <v>44168</v>
      </c>
      <c r="B280" s="152">
        <v>7629</v>
      </c>
      <c r="C280" s="214">
        <f>C279+B280</f>
        <v>1447732</v>
      </c>
      <c r="D280" s="152">
        <v>148</v>
      </c>
      <c r="E280" s="214">
        <f>E279+D280</f>
        <v>39302</v>
      </c>
      <c r="F280" s="198">
        <v>1274675</v>
      </c>
      <c r="G280" s="152">
        <v>3916</v>
      </c>
      <c r="H280" s="152">
        <v>47112</v>
      </c>
      <c r="I280" s="152">
        <f>I279+H280</f>
        <v>4022872</v>
      </c>
      <c r="J280" s="215">
        <v>4554</v>
      </c>
      <c r="K280" s="215">
        <v>2033435</v>
      </c>
      <c r="L280" s="216">
        <f>K280+J280</f>
        <v>2037989</v>
      </c>
      <c r="M280" s="152">
        <v>10186</v>
      </c>
      <c r="N280" s="152">
        <v>288999</v>
      </c>
      <c r="O280" s="152">
        <v>1028077</v>
      </c>
      <c r="P280" s="216">
        <f>C280-M280-N280-O280</f>
        <v>120470</v>
      </c>
      <c r="Q280" s="216">
        <f>F280-F279</f>
        <v>6317</v>
      </c>
      <c r="R280" s="217">
        <f>G280-G279</f>
        <v>-67</v>
      </c>
      <c r="S280" s="4"/>
      <c r="T280" s="220">
        <v>2.7E-2</v>
      </c>
      <c r="U280" s="146">
        <f>(C280-C273)/C273</f>
        <v>3.4514742063024184E-2</v>
      </c>
      <c r="V280" s="95">
        <f>C267*0.03</f>
        <v>40771.26</v>
      </c>
      <c r="W280" s="213">
        <f>AVERAGE(B274:B280)</f>
        <v>6900.1428571428569</v>
      </c>
      <c r="X280" s="36">
        <f>AVERAGE(D274:D280)</f>
        <v>194.71428571428572</v>
      </c>
    </row>
    <row r="281" spans="1:24" x14ac:dyDescent="0.25">
      <c r="A281" s="158">
        <v>44169</v>
      </c>
      <c r="B281" s="152">
        <v>6899</v>
      </c>
      <c r="C281" s="214">
        <f>C280+B281</f>
        <v>1454631</v>
      </c>
      <c r="D281" s="152">
        <f>209</f>
        <v>209</v>
      </c>
      <c r="E281" s="214">
        <f>E280+D281</f>
        <v>39511</v>
      </c>
      <c r="F281" s="198">
        <v>1281955</v>
      </c>
      <c r="G281" s="152">
        <v>3929</v>
      </c>
      <c r="H281" s="152">
        <v>32923</v>
      </c>
      <c r="I281" s="152">
        <f>I280+H281</f>
        <v>4055795</v>
      </c>
      <c r="J281" s="215">
        <v>4609</v>
      </c>
      <c r="K281" s="215">
        <v>2054205</v>
      </c>
      <c r="L281" s="216">
        <f>K281+J281</f>
        <v>2058814</v>
      </c>
      <c r="M281" s="152">
        <v>10211</v>
      </c>
      <c r="N281" s="152">
        <v>290538</v>
      </c>
      <c r="O281" s="152">
        <v>1033772</v>
      </c>
      <c r="P281" s="216">
        <f>C281-M281-N281-O281</f>
        <v>120110</v>
      </c>
      <c r="Q281" s="216">
        <f>F281-F280</f>
        <v>7280</v>
      </c>
      <c r="R281" s="217">
        <f>G281-G280</f>
        <v>13</v>
      </c>
      <c r="S281" s="16">
        <f>(C281-F281-E281)-(C280-E280-F280)</f>
        <v>-590</v>
      </c>
      <c r="T281" s="220">
        <v>2.7E-2</v>
      </c>
      <c r="U281" s="146">
        <f>(C281-C274)/C274</f>
        <v>3.3649381038700979E-2</v>
      </c>
      <c r="V281" s="95">
        <f>C268*0.03</f>
        <v>40985.46</v>
      </c>
      <c r="W281" s="213">
        <f>AVERAGE(B275:B281)</f>
        <v>6764.8571428571431</v>
      </c>
      <c r="X281" s="36">
        <f>AVERAGE(D275:D281)</f>
        <v>185.28571428571428</v>
      </c>
    </row>
    <row r="282" spans="1:24" x14ac:dyDescent="0.25">
      <c r="A282" s="158">
        <v>44170</v>
      </c>
      <c r="B282" s="152">
        <v>5201</v>
      </c>
      <c r="C282" s="214">
        <f>C281+B282</f>
        <v>1459832</v>
      </c>
      <c r="D282" s="152">
        <v>121</v>
      </c>
      <c r="E282" s="214">
        <f>E281+D282</f>
        <v>39632</v>
      </c>
      <c r="F282" s="198">
        <v>1288785</v>
      </c>
      <c r="G282" s="152">
        <v>3757</v>
      </c>
      <c r="H282" s="152">
        <v>28567</v>
      </c>
      <c r="I282" s="152">
        <f>I281+H282</f>
        <v>4084362</v>
      </c>
      <c r="J282" s="215">
        <v>4687</v>
      </c>
      <c r="K282" s="215">
        <v>2072109</v>
      </c>
      <c r="L282" s="216">
        <f>K282+J282</f>
        <v>2076796</v>
      </c>
      <c r="M282" s="152">
        <v>10228</v>
      </c>
      <c r="N282" s="152">
        <v>291315</v>
      </c>
      <c r="O282" s="152">
        <v>1037782</v>
      </c>
      <c r="P282" s="216">
        <f>C282-M282-N282-O282</f>
        <v>120507</v>
      </c>
      <c r="Q282" s="216">
        <f>F282-F281</f>
        <v>6830</v>
      </c>
      <c r="R282" s="217">
        <f>G282-G281</f>
        <v>-172</v>
      </c>
      <c r="S282" s="16">
        <f>(C282-F282-E282)-(C281-E281-F281)</f>
        <v>-1750</v>
      </c>
      <c r="T282" s="220">
        <v>2.7E-2</v>
      </c>
      <c r="U282" s="146">
        <f>(C282-C275)/C275</f>
        <v>3.2869549836384543E-2</v>
      </c>
      <c r="V282" s="95">
        <f>C269*0.03</f>
        <v>41110.979999999996</v>
      </c>
      <c r="W282" s="213">
        <f>AVERAGE(B276:B282)</f>
        <v>6636.7142857142853</v>
      </c>
      <c r="X282" s="36">
        <f>AVERAGE(D276:D282)</f>
        <v>187.42857142857142</v>
      </c>
    </row>
    <row r="283" spans="1:24" x14ac:dyDescent="0.25">
      <c r="A283" s="230">
        <v>44171</v>
      </c>
      <c r="B283" s="233">
        <v>3278</v>
      </c>
      <c r="C283" s="214">
        <f>C282+B283</f>
        <v>1463110</v>
      </c>
      <c r="D283" s="233">
        <v>138</v>
      </c>
      <c r="E283" s="235">
        <f>E282+D283</f>
        <v>39770</v>
      </c>
      <c r="F283" s="236">
        <v>1294692</v>
      </c>
      <c r="G283" s="233">
        <v>3735</v>
      </c>
      <c r="H283" s="233">
        <v>16826</v>
      </c>
      <c r="I283" s="233">
        <f>I282+H283</f>
        <v>4101188</v>
      </c>
      <c r="J283" s="241">
        <v>4696</v>
      </c>
      <c r="K283" s="241">
        <v>2083087</v>
      </c>
      <c r="L283" s="243">
        <f>K283+J283</f>
        <v>2087783</v>
      </c>
      <c r="M283" s="233">
        <v>10245</v>
      </c>
      <c r="N283" s="233">
        <v>291769</v>
      </c>
      <c r="O283" s="233">
        <v>1041718</v>
      </c>
      <c r="P283" s="243">
        <f>C283-M283-N283-O283</f>
        <v>119378</v>
      </c>
      <c r="Q283" s="243">
        <f>F283-F282</f>
        <v>5907</v>
      </c>
      <c r="R283" s="245">
        <f>G283-G282</f>
        <v>-22</v>
      </c>
      <c r="S283" s="234">
        <f>(C283-F283-E283)-(C282-E282-F282)</f>
        <v>-2767</v>
      </c>
      <c r="T283" s="220">
        <v>2.7E-2</v>
      </c>
      <c r="U283" s="146">
        <f>(C283-C276)/C276</f>
        <v>3.1225529617488496E-2</v>
      </c>
      <c r="V283" s="95">
        <f>C270*0.03</f>
        <v>41238.93</v>
      </c>
      <c r="W283" s="213">
        <f>AVERAGE(B277:B283)</f>
        <v>6329</v>
      </c>
      <c r="X283" s="36">
        <f>AVERAGE(D277:D283)</f>
        <v>185.57142857142858</v>
      </c>
    </row>
    <row r="284" spans="1:24" x14ac:dyDescent="0.25">
      <c r="A284" s="230">
        <v>44172</v>
      </c>
      <c r="B284" s="227">
        <v>3119</v>
      </c>
      <c r="C284" s="16">
        <f>C283+B284</f>
        <v>1466229</v>
      </c>
      <c r="D284" s="227">
        <v>118</v>
      </c>
      <c r="E284" s="234">
        <f>E283+D284</f>
        <v>39888</v>
      </c>
      <c r="F284" s="236">
        <v>1300696</v>
      </c>
      <c r="G284" s="227">
        <v>3723</v>
      </c>
      <c r="H284" s="227">
        <v>9951</v>
      </c>
      <c r="I284" s="227">
        <f>I283+H284</f>
        <v>4111139</v>
      </c>
      <c r="J284" s="240">
        <v>4703</v>
      </c>
      <c r="K284" s="240">
        <v>2088287</v>
      </c>
      <c r="L284" s="243">
        <f>K284+J284</f>
        <v>2092990</v>
      </c>
      <c r="M284" s="227">
        <v>10262</v>
      </c>
      <c r="N284" s="227">
        <v>292290</v>
      </c>
      <c r="O284" s="227">
        <v>1047405</v>
      </c>
      <c r="P284" s="243">
        <f>C284-M284-N284-O284</f>
        <v>116272</v>
      </c>
      <c r="Q284" s="243">
        <f>F284-F283</f>
        <v>6004</v>
      </c>
      <c r="R284" s="245">
        <f>G284-G283</f>
        <v>-12</v>
      </c>
      <c r="S284" s="234">
        <f>(C284-F284-E284)-(C283-E283-F283)</f>
        <v>-3003</v>
      </c>
      <c r="T284" s="220">
        <v>2.7E-2</v>
      </c>
      <c r="U284" s="146">
        <f>(C284-C277)/C277</f>
        <v>2.9269943202438975E-2</v>
      </c>
      <c r="V284" s="95">
        <f>C271*0.03</f>
        <v>41453.85</v>
      </c>
      <c r="W284" s="213">
        <f>AVERAGE(B278:B284)</f>
        <v>5956.5714285714284</v>
      </c>
      <c r="X284" s="36">
        <f>AVERAGE(D278:D284)</f>
        <v>165.71428571428572</v>
      </c>
    </row>
    <row r="285" spans="1:24" x14ac:dyDescent="0.25">
      <c r="A285" s="230">
        <v>44173</v>
      </c>
      <c r="B285" s="227">
        <v>3610</v>
      </c>
      <c r="C285" s="16">
        <f>C284+B285</f>
        <v>1469839</v>
      </c>
      <c r="D285" s="227">
        <v>121</v>
      </c>
      <c r="E285" s="234">
        <f>E284+D285</f>
        <v>40009</v>
      </c>
      <c r="F285" s="236">
        <v>1305587</v>
      </c>
      <c r="G285" s="227">
        <v>3715</v>
      </c>
      <c r="H285" s="227">
        <v>13302</v>
      </c>
      <c r="I285" s="227">
        <f>I284+H285</f>
        <v>4124441</v>
      </c>
      <c r="J285" s="240"/>
      <c r="K285" s="240"/>
      <c r="L285" s="227"/>
      <c r="M285" s="227"/>
      <c r="N285" s="227"/>
      <c r="O285" s="227"/>
      <c r="P285" s="227"/>
      <c r="Q285" s="243">
        <f>F285-F284</f>
        <v>4891</v>
      </c>
      <c r="R285" s="245">
        <f>G285-G284</f>
        <v>-8</v>
      </c>
      <c r="S285" s="234">
        <f>(C285-F285-E285)-(C284-E284-F284)</f>
        <v>-1402</v>
      </c>
      <c r="T285" s="220">
        <v>2.7E-2</v>
      </c>
      <c r="U285" s="146">
        <f>(C285-C278)/C278</f>
        <v>2.6015482664023398E-2</v>
      </c>
      <c r="V285" s="36">
        <f>C285*T285</f>
        <v>39685.652999999998</v>
      </c>
      <c r="W285" s="213">
        <f>AVERAGE(B279:B285)</f>
        <v>5324.1428571428569</v>
      </c>
      <c r="X285" s="36">
        <f>AVERAGE(D279:D285)</f>
        <v>154.71428571428572</v>
      </c>
    </row>
  </sheetData>
  <autoFilter ref="A1:X285" xr:uid="{14E653EB-C6B1-4776-8B3B-970F98EB9028}">
    <sortState xmlns:xlrd2="http://schemas.microsoft.com/office/spreadsheetml/2017/richdata2" ref="A2:X285">
      <sortCondition ref="A1:A28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Hoja1</vt:lpstr>
      <vt:lpstr>argentina_fallecidos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2020-12-09T23:11:50Z</dcterms:modified>
</cp:coreProperties>
</file>