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C55D3907-C5D9-404D-9CF8-E53E217F5FE8}" xr6:coauthVersionLast="45" xr6:coauthVersionMax="45" xr10:uidLastSave="{00000000-0000-0000-0000-000000000000}"/>
  <bookViews>
    <workbookView xWindow="10335" yWindow="3840" windowWidth="9900" windowHeight="6270" tabRatio="786" xr2:uid="{00000000-000D-0000-FFFF-FFFF00000000}"/>
  </bookViews>
  <sheets>
    <sheet name="argentina_gral" sheetId="1" r:id="rId1"/>
    <sheet name="casos_provincias" sheetId="3" r:id="rId2"/>
    <sheet name="Hoja2" sheetId="13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casos_provincias!$A$1:$E$4633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50" i="3" l="1"/>
  <c r="E4747" i="3"/>
  <c r="E4746" i="3"/>
  <c r="E4745" i="3"/>
  <c r="E4737" i="3"/>
  <c r="E4735" i="3"/>
  <c r="E4731" i="3"/>
  <c r="E4730" i="3"/>
  <c r="E4752" i="3"/>
  <c r="E4753" i="3"/>
  <c r="E4749" i="3"/>
  <c r="E4742" i="3"/>
  <c r="R199" i="1"/>
  <c r="E199" i="1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R198" i="1"/>
  <c r="D198" i="1"/>
  <c r="E4729" i="3"/>
  <c r="E4720" i="3"/>
  <c r="E198" i="1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682" i="3"/>
  <c r="E4703" i="3"/>
  <c r="R197" i="1"/>
  <c r="D197" i="1"/>
  <c r="E197" i="1" s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R196" i="1"/>
  <c r="E196" i="1"/>
  <c r="S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R195" i="1"/>
  <c r="E195" i="1"/>
  <c r="S195" i="1" s="1"/>
  <c r="D195" i="1"/>
  <c r="C195" i="1"/>
  <c r="S197" i="1" l="1"/>
  <c r="E4643" i="3"/>
  <c r="P194" i="1" l="1"/>
  <c r="I194" i="1"/>
  <c r="K194" i="1"/>
  <c r="J194" i="1" s="1"/>
  <c r="E4624" i="3" l="1"/>
  <c r="E4630" i="3"/>
  <c r="E4626" i="3"/>
  <c r="E4625" i="3"/>
  <c r="E4632" i="3"/>
  <c r="E4622" i="3"/>
  <c r="E4615" i="3"/>
  <c r="E4611" i="3"/>
  <c r="E4633" i="3"/>
  <c r="E4616" i="3"/>
  <c r="E4613" i="3"/>
  <c r="R194" i="1"/>
  <c r="E194" i="1"/>
  <c r="S194" i="1" s="1"/>
  <c r="D194" i="1"/>
  <c r="C194" i="1"/>
  <c r="E178" i="5" l="1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F179" i="5" l="1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F1878" i="3" l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2382" i="3" l="1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F2526" i="3" l="1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F2694" i="3" l="1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F2814" i="3" l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F1474" i="3" l="1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F1498" i="3" l="1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F1522" i="3" l="1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3753" i="3"/>
  <c r="E189" i="1"/>
  <c r="C162" i="1"/>
  <c r="R161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E190" i="1"/>
  <c r="C123" i="1"/>
  <c r="R122" i="1"/>
  <c r="S122" i="1"/>
  <c r="C163" i="1"/>
  <c r="R162" i="1"/>
  <c r="S162" i="1"/>
  <c r="E123" i="1"/>
  <c r="F3801" i="3" l="1"/>
  <c r="F3827" i="3"/>
  <c r="F3851" i="3" s="1"/>
  <c r="F3875" i="3" s="1"/>
  <c r="S190" i="1"/>
  <c r="E191" i="1"/>
  <c r="E192" i="1" s="1"/>
  <c r="S123" i="1"/>
  <c r="C164" i="1"/>
  <c r="R163" i="1"/>
  <c r="S163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S192" i="1"/>
  <c r="E193" i="1"/>
  <c r="R192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S191" i="1"/>
  <c r="R191" i="1"/>
  <c r="C125" i="1"/>
  <c r="R124" i="1"/>
  <c r="E125" i="1"/>
  <c r="S124" i="1"/>
  <c r="C165" i="1"/>
  <c r="R164" i="1"/>
  <c r="S164" i="1"/>
  <c r="E119" i="1"/>
  <c r="C119" i="1"/>
  <c r="S193" i="1" l="1"/>
  <c r="R193" i="1"/>
  <c r="E120" i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  <c r="C198" i="1" l="1"/>
</calcChain>
</file>

<file path=xl/sharedStrings.xml><?xml version="1.0" encoding="utf-8"?>
<sst xmlns="http://schemas.openxmlformats.org/spreadsheetml/2006/main" count="9885" uniqueCount="163">
  <si>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</si>
  <si>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</si>
  <si>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</si>
  <si>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</si>
  <si>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</si>
  <si>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</si>
  <si>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</si>
  <si>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</si>
  <si>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</si>
  <si>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</si>
  <si>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</si>
  <si>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</si>
  <si>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</si>
  <si>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</si>
  <si>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</si>
  <si>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</si>
  <si>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</si>
  <si>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</si>
  <si>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</si>
  <si>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</si>
  <si>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</si>
  <si>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</si>
  <si>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</si>
  <si>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</si>
  <si>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</si>
  <si>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</si>
  <si>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</si>
  <si>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</si>
  <si>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</si>
  <si>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</si>
  <si>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</si>
  <si>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</si>
  <si>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</si>
  <si>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</si>
  <si>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</si>
  <si>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</si>
  <si>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</si>
  <si>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</si>
  <si>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</si>
  <si>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</si>
  <si>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</si>
  <si>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</si>
  <si>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</si>
  <si>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</si>
  <si>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</si>
  <si>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</si>
  <si>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</si>
  <si>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</si>
  <si>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</si>
  <si>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</si>
  <si>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</si>
  <si>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</si>
  <si>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</si>
  <si>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</si>
  <si>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</si>
  <si>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</si>
  <si>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</si>
  <si>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</si>
  <si>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</si>
  <si>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</si>
  <si>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</si>
  <si>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</si>
  <si>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</si>
  <si>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</si>
  <si>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</si>
  <si>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</si>
  <si>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</si>
  <si>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</si>
  <si>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</si>
  <si>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</si>
  <si>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</si>
  <si>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</si>
  <si>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</si>
  <si>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</si>
  <si>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</si>
  <si>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</si>
  <si>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</si>
  <si>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</si>
  <si>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</si>
  <si>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</si>
  <si>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</si>
  <si>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</si>
  <si>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</si>
  <si>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</si>
  <si>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</si>
  <si>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</si>
  <si>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</si>
  <si>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</si>
  <si>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</si>
  <si>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</si>
  <si>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</si>
  <si>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</si>
  <si>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</si>
  <si>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</si>
  <si>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</si>
  <si>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</si>
  <si>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</si>
  <si>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</si>
  <si>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</si>
  <si>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</si>
  <si>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</si>
  <si>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</si>
  <si>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</si>
  <si>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</si>
  <si>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</si>
  <si>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</si>
  <si>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</si>
  <si>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</si>
  <si>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</si>
  <si>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</si>
  <si>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</si>
  <si>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</si>
  <si>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</si>
  <si>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</si>
  <si>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</si>
  <si>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</si>
  <si>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</si>
  <si>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</si>
  <si>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</si>
  <si>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</si>
  <si>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</si>
  <si>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</si>
  <si>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</si>
  <si>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</si>
  <si>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</si>
  <si>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</si>
  <si>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</si>
  <si>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</si>
  <si>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</si>
  <si>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</si>
  <si>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</si>
  <si>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</si>
  <si>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</si>
  <si>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</si>
  <si>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</si>
  <si>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</si>
  <si>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</si>
  <si>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</si>
  <si>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</si>
  <si>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</si>
  <si>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</si>
  <si>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</si>
  <si>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</si>
  <si>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</si>
  <si>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</si>
  <si>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</si>
  <si>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</si>
  <si>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</si>
  <si>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</si>
  <si>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Var1</t>
  </si>
  <si>
    <t>Freq</t>
  </si>
  <si>
    <t>Buenos Aires</t>
  </si>
  <si>
    <t>Entre Ríos</t>
  </si>
  <si>
    <t>La Pampa</t>
  </si>
  <si>
    <t>La Rioja</t>
  </si>
  <si>
    <t>Río Negro</t>
  </si>
  <si>
    <t>San Luis</t>
  </si>
  <si>
    <t>Santa Cruz</t>
  </si>
  <si>
    <t>Santa Fe</t>
  </si>
  <si>
    <t>Santiago del Estero</t>
  </si>
  <si>
    <t>Tierra del Fuego</t>
  </si>
  <si>
    <t>provincia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</si>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</sst>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1" fontId="26" fillId="0" borderId="6" xfId="0" applyNumberFormat="1" applyFont="1" applyBorder="1" applyAlignment="1">
      <alignment horizontal="center" vertical="center"/>
    </xf>
    <xf numFmtId="0" fontId="3" fillId="0" borderId="28" xfId="0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5" name="AutoShape 18" descr="Bandera triangular en poste">
          <a:extLst>
            <a:ext uri="{FF2B5EF4-FFF2-40B4-BE49-F238E27FC236}">
              <a16:creationId xmlns:a16="http://schemas.microsoft.com/office/drawing/2014/main" id="{27E55B5E-7894-4336-9992-4226059DD2F8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38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99"/>
  <sheetViews>
    <sheetView tabSelected="1" topLeftCell="H1" zoomScale="85" zoomScaleNormal="85" workbookViewId="0">
      <pane ySplit="1" topLeftCell="A179" activePane="bottomLeft" state="frozen"/>
      <selection pane="bottomLeft" activeCell="L194" sqref="L194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90"/>
    <col min="7" max="7" width="9.42578125" style="6" customWidth="1"/>
    <col min="8" max="9" width="11.42578125" style="6"/>
    <col min="10" max="11" width="11.42578125" style="36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5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5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5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5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5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5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5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5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5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5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5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5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5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5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5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5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5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5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5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5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5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5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5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5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5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5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5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5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5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5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5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5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5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5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5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5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5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5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5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5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5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5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5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5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5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5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5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5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5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5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5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5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5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5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5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5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5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5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5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5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5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5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5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5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5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5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5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5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5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5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5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5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5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5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5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5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5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5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5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5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5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5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5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5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5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5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5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5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5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5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5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5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5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5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5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5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5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5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5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5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5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5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5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8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8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8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8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8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8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8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8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8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8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8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8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8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8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8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3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3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3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3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3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3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3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3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3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3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3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3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2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2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2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18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82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 t="shared" si="18"/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25">
        <f t="shared" si="18"/>
        <v>2.3173721679024015E-2</v>
      </c>
      <c r="S162" s="6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25">
        <f t="shared" si="18"/>
        <v>2.3097212304912348E-2</v>
      </c>
      <c r="S163" s="6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25">
        <f t="shared" si="18"/>
        <v>2.3432873699348617E-2</v>
      </c>
      <c r="S164" s="6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25">
        <f t="shared" si="18"/>
        <v>2.3457547696083901E-2</v>
      </c>
      <c r="S165" s="6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5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25">
        <f t="shared" si="18"/>
        <v>2.4125147447059483E-2</v>
      </c>
      <c r="S166" s="6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5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25">
        <f t="shared" si="18"/>
        <v>2.3912710246512731E-2</v>
      </c>
      <c r="S167" s="6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5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25">
        <f t="shared" si="18"/>
        <v>2.4050918102962712E-2</v>
      </c>
      <c r="S168" s="6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5"/>
        <v>5814</v>
      </c>
      <c r="F169" s="84">
        <v>223531</v>
      </c>
      <c r="G169" s="47">
        <v>1749</v>
      </c>
      <c r="H169" s="47">
        <v>13483</v>
      </c>
      <c r="I169" s="47">
        <f t="shared" ref="I169:I176" si="26">I168+H169</f>
        <v>994942</v>
      </c>
      <c r="J169" s="67">
        <f t="shared" si="19"/>
        <v>1116.6300000000047</v>
      </c>
      <c r="K169" s="67">
        <f t="shared" si="24"/>
        <v>557198.37</v>
      </c>
      <c r="L169" s="47">
        <v>558315</v>
      </c>
      <c r="M169" s="47">
        <v>1157</v>
      </c>
      <c r="N169" s="47">
        <v>76226</v>
      </c>
      <c r="O169" s="47">
        <v>180483</v>
      </c>
      <c r="P169" s="47">
        <f>299126-O169-N169-M169</f>
        <v>41260</v>
      </c>
      <c r="Q169" s="1">
        <f t="shared" si="17"/>
        <v>0.94150197628458498</v>
      </c>
      <c r="R169" s="25">
        <f t="shared" si="18"/>
        <v>2.5064129204224645E-2</v>
      </c>
      <c r="S169" s="6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7">C169+B170</f>
        <v>305966</v>
      </c>
      <c r="D170" s="4">
        <f>63+170</f>
        <v>233</v>
      </c>
      <c r="E170" s="7">
        <f t="shared" si="25"/>
        <v>6047</v>
      </c>
      <c r="F170" s="95">
        <v>228725</v>
      </c>
      <c r="G170" s="4">
        <v>1799</v>
      </c>
      <c r="H170" s="4">
        <v>18037</v>
      </c>
      <c r="I170" s="4">
        <f t="shared" si="26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25">
        <f t="shared" si="18"/>
        <v>2.5268983341292805E-2</v>
      </c>
      <c r="S170" s="6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7"/>
        <v>312659</v>
      </c>
      <c r="D171" s="4">
        <f>217+66</f>
        <v>283</v>
      </c>
      <c r="E171" s="7">
        <f t="shared" si="25"/>
        <v>6330</v>
      </c>
      <c r="F171" s="95">
        <v>233651</v>
      </c>
      <c r="G171" s="4">
        <v>1795</v>
      </c>
      <c r="H171" s="4">
        <v>18013</v>
      </c>
      <c r="I171" s="4">
        <f t="shared" si="26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25">
        <f t="shared" si="18"/>
        <v>2.4697982883403507E-2</v>
      </c>
      <c r="S171" s="6">
        <f t="shared" si="16"/>
        <v>2.0245698988354724E-2</v>
      </c>
    </row>
    <row r="172" spans="1:19" x14ac:dyDescent="0.25">
      <c r="A172" s="2">
        <v>44063</v>
      </c>
      <c r="B172" s="87">
        <v>8225</v>
      </c>
      <c r="C172" s="7">
        <f t="shared" si="27"/>
        <v>320884</v>
      </c>
      <c r="D172" s="4">
        <f>111+75</f>
        <v>186</v>
      </c>
      <c r="E172" s="7">
        <f>E171+D172</f>
        <v>6516</v>
      </c>
      <c r="F172" s="95">
        <v>239806</v>
      </c>
      <c r="G172" s="4">
        <v>1832</v>
      </c>
      <c r="H172" s="4">
        <v>21695</v>
      </c>
      <c r="I172" s="4">
        <f t="shared" si="26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25">
        <f t="shared" si="18"/>
        <v>2.4570156379925431E-2</v>
      </c>
      <c r="S172" s="6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7"/>
        <v>329043</v>
      </c>
      <c r="D173" s="4">
        <f>50+164</f>
        <v>214</v>
      </c>
      <c r="E173" s="7">
        <f>E172+D173</f>
        <v>6730</v>
      </c>
      <c r="F173" s="84">
        <v>245781</v>
      </c>
      <c r="G173" s="47">
        <v>1853</v>
      </c>
      <c r="H173" s="47">
        <v>21032</v>
      </c>
      <c r="I173" s="47">
        <f t="shared" si="26"/>
        <v>1073719</v>
      </c>
      <c r="J173" s="67">
        <f t="shared" si="19"/>
        <v>1201.0119999999879</v>
      </c>
      <c r="K173" s="67">
        <f t="shared" si="24"/>
        <v>599304.98800000001</v>
      </c>
      <c r="L173" s="47">
        <v>600506</v>
      </c>
      <c r="M173" s="47">
        <v>1175</v>
      </c>
      <c r="N173" s="47">
        <v>82187</v>
      </c>
      <c r="O173" s="47">
        <v>201933</v>
      </c>
      <c r="P173" s="7">
        <f>C173-O173-N173-M173</f>
        <v>43748</v>
      </c>
      <c r="Q173" s="1">
        <f t="shared" si="17"/>
        <v>1.0400339194858521</v>
      </c>
      <c r="R173" s="25">
        <f t="shared" si="18"/>
        <v>2.4212094287356923E-2</v>
      </c>
      <c r="S173" s="6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7"/>
        <v>336802</v>
      </c>
      <c r="D174" s="4">
        <v>118</v>
      </c>
      <c r="E174" s="7">
        <f>E173+D174</f>
        <v>6848</v>
      </c>
      <c r="F174" s="84">
        <v>251400</v>
      </c>
      <c r="G174" s="47">
        <v>1907</v>
      </c>
      <c r="H174" s="47">
        <v>18837</v>
      </c>
      <c r="I174" s="47">
        <f t="shared" si="26"/>
        <v>1092556</v>
      </c>
      <c r="J174" s="67">
        <f t="shared" si="19"/>
        <v>1220.3220000000438</v>
      </c>
      <c r="K174" s="67">
        <f t="shared" si="24"/>
        <v>608940.67799999996</v>
      </c>
      <c r="L174" s="47">
        <v>610161</v>
      </c>
      <c r="M174" s="47">
        <v>1178</v>
      </c>
      <c r="N174" s="47">
        <v>83443</v>
      </c>
      <c r="O174" s="47">
        <v>205996</v>
      </c>
      <c r="P174" s="7">
        <f>C174-O174-N174-M174</f>
        <v>46185</v>
      </c>
      <c r="Q174" s="1">
        <f t="shared" si="17"/>
        <v>1.0235162854568081</v>
      </c>
      <c r="R174" s="25">
        <f t="shared" si="18"/>
        <v>2.4276294014308628E-2</v>
      </c>
      <c r="S174" s="6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7"/>
        <v>342154</v>
      </c>
      <c r="D175" s="4">
        <f>99+37</f>
        <v>136</v>
      </c>
      <c r="E175" s="7">
        <f>E174+D175</f>
        <v>6984</v>
      </c>
      <c r="F175" s="95">
        <v>256789</v>
      </c>
      <c r="G175" s="4">
        <v>1922</v>
      </c>
      <c r="H175" s="4">
        <v>13322</v>
      </c>
      <c r="I175" s="4">
        <f t="shared" si="26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8">C175-O175-N175-M175</f>
        <v>47516</v>
      </c>
      <c r="Q175" s="1">
        <f t="shared" si="17"/>
        <v>0.99754727265104193</v>
      </c>
      <c r="R175" s="25">
        <f t="shared" si="18"/>
        <v>2.4521248772023833E-2</v>
      </c>
      <c r="S175" s="6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7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6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8"/>
        <v>50739</v>
      </c>
      <c r="Q176" s="1">
        <f t="shared" si="17"/>
        <v>1.0873384469895975</v>
      </c>
      <c r="R176" s="25">
        <f t="shared" si="18"/>
        <v>2.4408468244084682E-2</v>
      </c>
      <c r="S176" s="6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7"/>
        <v>359638</v>
      </c>
      <c r="D177" s="4">
        <f>36+162</f>
        <v>198</v>
      </c>
      <c r="E177" s="7">
        <f t="shared" ref="E177:E192" si="29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8"/>
        <v>51790</v>
      </c>
      <c r="Q177" s="1">
        <f t="shared" si="17"/>
        <v>1.0373205001836068</v>
      </c>
      <c r="R177" s="25">
        <f t="shared" si="18"/>
        <v>2.3897014674448207E-2</v>
      </c>
      <c r="S177" s="69">
        <f t="shared" si="16"/>
        <v>2.1029479643419217E-2</v>
      </c>
    </row>
    <row r="178" spans="1:20" x14ac:dyDescent="0.25">
      <c r="A178" s="2">
        <v>44069</v>
      </c>
      <c r="B178" s="4">
        <v>10550</v>
      </c>
      <c r="C178" s="7">
        <f t="shared" ref="C178:C192" si="30">C177+B178</f>
        <v>370188</v>
      </c>
      <c r="D178" s="4">
        <f>98+178</f>
        <v>276</v>
      </c>
      <c r="E178" s="7">
        <f t="shared" si="29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8"/>
        <v>54117</v>
      </c>
      <c r="Q178" s="1">
        <f t="shared" si="17"/>
        <v>1.071862423610076</v>
      </c>
      <c r="R178" s="25">
        <f t="shared" si="18"/>
        <v>2.300576850872103E-2</v>
      </c>
      <c r="S178" s="6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0"/>
        <v>380292</v>
      </c>
      <c r="D179" s="4">
        <f>105+106</f>
        <v>211</v>
      </c>
      <c r="E179" s="7">
        <f t="shared" si="29"/>
        <v>8050</v>
      </c>
      <c r="F179" s="29">
        <v>274458</v>
      </c>
      <c r="G179" s="4">
        <v>2075</v>
      </c>
      <c r="H179" s="4">
        <v>24067</v>
      </c>
      <c r="I179" s="4">
        <f t="shared" ref="I179:I191" si="31">I178+H179</f>
        <v>1196878</v>
      </c>
      <c r="J179" s="7">
        <f t="shared" si="19"/>
        <v>1061.1663999999873</v>
      </c>
      <c r="K179" s="7">
        <f t="shared" ref="K179:K190" si="32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8"/>
        <v>56457</v>
      </c>
      <c r="Q179" s="1">
        <f t="shared" si="17"/>
        <v>1.0326617879678077</v>
      </c>
      <c r="R179" s="25">
        <f t="shared" si="18"/>
        <v>2.1220240530148083E-2</v>
      </c>
      <c r="S179" s="6">
        <f t="shared" si="16"/>
        <v>2.1167944632019604E-2</v>
      </c>
    </row>
    <row r="180" spans="1:20" x14ac:dyDescent="0.25">
      <c r="A180" s="2">
        <v>44071</v>
      </c>
      <c r="B180" s="86">
        <v>11717</v>
      </c>
      <c r="C180" s="67">
        <f t="shared" si="30"/>
        <v>392009</v>
      </c>
      <c r="D180" s="47">
        <f>80+142</f>
        <v>222</v>
      </c>
      <c r="E180" s="67">
        <f t="shared" si="29"/>
        <v>8272</v>
      </c>
      <c r="F180" s="92">
        <v>287220</v>
      </c>
      <c r="G180" s="47">
        <v>2114</v>
      </c>
      <c r="H180" s="47">
        <v>25481</v>
      </c>
      <c r="I180" s="47">
        <f t="shared" si="31"/>
        <v>1222359</v>
      </c>
      <c r="J180" s="67">
        <f t="shared" si="19"/>
        <v>1081.8352000000887</v>
      </c>
      <c r="K180" s="7">
        <f t="shared" si="32"/>
        <v>675065.16479999991</v>
      </c>
      <c r="L180" s="47">
        <v>676147</v>
      </c>
      <c r="M180" s="47">
        <v>1190</v>
      </c>
      <c r="N180" s="47">
        <v>92043</v>
      </c>
      <c r="O180" s="47">
        <v>239019</v>
      </c>
      <c r="P180" s="47">
        <f t="shared" si="28"/>
        <v>59757</v>
      </c>
      <c r="Q180" s="1">
        <f t="shared" si="17"/>
        <v>1.0598909237813088</v>
      </c>
      <c r="R180" s="25">
        <f t="shared" si="18"/>
        <v>2.1902877213340655E-2</v>
      </c>
      <c r="S180" s="6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0"/>
        <v>401239</v>
      </c>
      <c r="D181" s="47">
        <f>34+47</f>
        <v>81</v>
      </c>
      <c r="E181" s="67">
        <f t="shared" si="29"/>
        <v>8353</v>
      </c>
      <c r="F181" s="92">
        <v>294007</v>
      </c>
      <c r="G181" s="47">
        <v>2192</v>
      </c>
      <c r="H181" s="47">
        <v>19910</v>
      </c>
      <c r="I181" s="47">
        <f t="shared" si="31"/>
        <v>1242269</v>
      </c>
      <c r="J181" s="67">
        <f t="shared" ref="J181:J193" si="33">L181-K181</f>
        <v>1097.3584000000264</v>
      </c>
      <c r="K181" s="7">
        <f t="shared" si="32"/>
        <v>684751.64159999997</v>
      </c>
      <c r="L181" s="67">
        <v>685849</v>
      </c>
      <c r="M181" s="47">
        <v>1191</v>
      </c>
      <c r="N181" s="47">
        <v>93278</v>
      </c>
      <c r="O181" s="47">
        <v>244308</v>
      </c>
      <c r="P181" s="47">
        <f t="shared" si="28"/>
        <v>62462</v>
      </c>
      <c r="Q181" s="1">
        <f t="shared" si="17"/>
        <v>1.0233618143124861</v>
      </c>
      <c r="R181" s="25">
        <f t="shared" si="18"/>
        <v>2.2168508985730032E-2</v>
      </c>
      <c r="S181" s="4">
        <f t="shared" si="16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 t="shared" si="30"/>
        <v>408426</v>
      </c>
      <c r="D182" s="4">
        <f>48+55</f>
        <v>103</v>
      </c>
      <c r="E182" s="7">
        <f t="shared" si="29"/>
        <v>8456</v>
      </c>
      <c r="F182" s="29">
        <v>300195</v>
      </c>
      <c r="G182" s="4">
        <v>2232</v>
      </c>
      <c r="H182" s="4">
        <v>15637</v>
      </c>
      <c r="I182" s="4">
        <f t="shared" si="31"/>
        <v>1257906</v>
      </c>
      <c r="J182" s="7">
        <f t="shared" si="33"/>
        <v>1109.0415999999968</v>
      </c>
      <c r="K182" s="7">
        <f t="shared" si="32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8"/>
        <v>65003</v>
      </c>
      <c r="Q182" s="1">
        <f t="shared" si="17"/>
        <v>1.0284774275649082</v>
      </c>
      <c r="R182" s="25">
        <f t="shared" si="18"/>
        <v>2.2370333249812076E-2</v>
      </c>
      <c r="S182" s="4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0"/>
        <v>417735</v>
      </c>
      <c r="D183" s="47">
        <f>41+162</f>
        <v>203</v>
      </c>
      <c r="E183" s="67">
        <f t="shared" si="29"/>
        <v>8659</v>
      </c>
      <c r="F183" s="92">
        <v>308376</v>
      </c>
      <c r="G183" s="47">
        <v>2273</v>
      </c>
      <c r="H183" s="47">
        <v>19845</v>
      </c>
      <c r="I183" s="47">
        <f t="shared" si="31"/>
        <v>1277751</v>
      </c>
      <c r="J183" s="67">
        <f t="shared" si="33"/>
        <v>1125.2863999999827</v>
      </c>
      <c r="K183" s="7">
        <f t="shared" si="32"/>
        <v>702178.71360000002</v>
      </c>
      <c r="L183" s="47">
        <v>703304</v>
      </c>
      <c r="M183" s="47">
        <v>1197</v>
      </c>
      <c r="N183" s="47">
        <v>95857</v>
      </c>
      <c r="O183" s="47">
        <v>255688</v>
      </c>
      <c r="P183" s="47">
        <f t="shared" si="28"/>
        <v>64993</v>
      </c>
      <c r="Q183" s="77">
        <f t="shared" si="17"/>
        <v>1.0089932399806858</v>
      </c>
      <c r="R183" s="25">
        <f t="shared" ref="R183:R199" si="34">G183/(C183-E183-F183)</f>
        <v>2.2571996027805363E-2</v>
      </c>
      <c r="S183" s="4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0"/>
        <v>428239</v>
      </c>
      <c r="D184" s="4">
        <f>70+189</f>
        <v>259</v>
      </c>
      <c r="E184" s="7">
        <f t="shared" si="29"/>
        <v>8918</v>
      </c>
      <c r="F184" s="29">
        <v>315530</v>
      </c>
      <c r="G184" s="4">
        <v>2314</v>
      </c>
      <c r="H184" s="4">
        <v>23115</v>
      </c>
      <c r="I184" s="4">
        <f t="shared" si="31"/>
        <v>1300866</v>
      </c>
      <c r="J184" s="7">
        <f t="shared" si="33"/>
        <v>1148.1040000000503</v>
      </c>
      <c r="K184" s="7">
        <f t="shared" si="32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8"/>
        <v>65758</v>
      </c>
      <c r="Q184" s="77">
        <f t="shared" si="17"/>
        <v>1.0259167314709576</v>
      </c>
      <c r="R184" s="1">
        <f t="shared" si="34"/>
        <v>2.2294803981077357E-2</v>
      </c>
      <c r="S184" s="6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0"/>
        <v>439172</v>
      </c>
      <c r="D185" s="4">
        <f>52+146</f>
        <v>198</v>
      </c>
      <c r="E185" s="7">
        <f t="shared" si="29"/>
        <v>9116</v>
      </c>
      <c r="F185" s="29">
        <v>322461</v>
      </c>
      <c r="G185" s="4">
        <v>2359</v>
      </c>
      <c r="H185" s="4">
        <v>23821</v>
      </c>
      <c r="I185" s="4">
        <f t="shared" si="31"/>
        <v>1324687</v>
      </c>
      <c r="J185" s="7">
        <f t="shared" si="33"/>
        <v>1166.611200000043</v>
      </c>
      <c r="K185" s="7">
        <f t="shared" si="32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8"/>
        <v>65923</v>
      </c>
      <c r="Q185" s="77">
        <f t="shared" si="17"/>
        <v>1.0055830089940381</v>
      </c>
      <c r="R185" s="1">
        <f t="shared" si="34"/>
        <v>2.1924810632464334E-2</v>
      </c>
      <c r="S185" s="103">
        <f t="shared" si="16"/>
        <v>2.075724317579445E-2</v>
      </c>
    </row>
    <row r="186" spans="1:20" x14ac:dyDescent="0.25">
      <c r="A186" s="76">
        <v>44077</v>
      </c>
      <c r="B186" s="79">
        <v>12026</v>
      </c>
      <c r="C186" s="7">
        <f t="shared" si="30"/>
        <v>451198</v>
      </c>
      <c r="D186" s="4">
        <f>38+206</f>
        <v>244</v>
      </c>
      <c r="E186" s="7">
        <f t="shared" si="29"/>
        <v>9360</v>
      </c>
      <c r="F186" s="29">
        <v>331621</v>
      </c>
      <c r="G186" s="4">
        <v>2394</v>
      </c>
      <c r="H186" s="4">
        <v>25351</v>
      </c>
      <c r="I186" s="4">
        <f t="shared" si="31"/>
        <v>1350038</v>
      </c>
      <c r="J186" s="7">
        <f t="shared" si="33"/>
        <v>1185.8656000000192</v>
      </c>
      <c r="K186" s="7">
        <f t="shared" si="32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8"/>
        <v>67675</v>
      </c>
      <c r="Q186" s="77">
        <f t="shared" si="17"/>
        <v>1.0278615331091268</v>
      </c>
      <c r="R186" s="25">
        <f t="shared" si="34"/>
        <v>2.1720787174392336E-2</v>
      </c>
      <c r="S186" s="10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0"/>
        <v>461882</v>
      </c>
      <c r="D187" s="4">
        <f>107+155</f>
        <v>262</v>
      </c>
      <c r="E187" s="7">
        <f t="shared" si="29"/>
        <v>9622</v>
      </c>
      <c r="F187" s="29">
        <v>340381</v>
      </c>
      <c r="G187" s="4">
        <v>2425</v>
      </c>
      <c r="H187" s="4">
        <v>24486</v>
      </c>
      <c r="I187" s="4">
        <f t="shared" si="31"/>
        <v>1374524</v>
      </c>
      <c r="J187" s="7">
        <f t="shared" si="33"/>
        <v>1205.8336000000127</v>
      </c>
      <c r="K187" s="7">
        <f t="shared" si="32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8"/>
        <v>68623</v>
      </c>
      <c r="Q187" s="77">
        <f t="shared" si="17"/>
        <v>0.98543141624122088</v>
      </c>
      <c r="R187" s="25">
        <f t="shared" si="34"/>
        <v>2.167520267431779E-2</v>
      </c>
      <c r="S187" s="10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0"/>
        <v>471806</v>
      </c>
      <c r="D188" s="47">
        <f>62+55</f>
        <v>117</v>
      </c>
      <c r="E188" s="67">
        <f t="shared" si="29"/>
        <v>9739</v>
      </c>
      <c r="F188" s="92">
        <v>349132</v>
      </c>
      <c r="G188" s="47">
        <v>2456</v>
      </c>
      <c r="H188" s="47">
        <v>22363</v>
      </c>
      <c r="I188" s="47">
        <f t="shared" si="31"/>
        <v>1396887</v>
      </c>
      <c r="J188" s="67">
        <f t="shared" si="33"/>
        <v>1223.704000000027</v>
      </c>
      <c r="K188" s="7">
        <f t="shared" si="32"/>
        <v>763591.29599999997</v>
      </c>
      <c r="L188" s="67">
        <v>764815</v>
      </c>
      <c r="M188" s="47">
        <v>1207</v>
      </c>
      <c r="N188" s="47">
        <v>104581</v>
      </c>
      <c r="O188" s="47">
        <v>294844</v>
      </c>
      <c r="P188" s="47">
        <f t="shared" si="28"/>
        <v>71174</v>
      </c>
      <c r="Q188" s="77">
        <f t="shared" si="17"/>
        <v>1.0099323057547265</v>
      </c>
      <c r="R188" s="25">
        <f t="shared" si="34"/>
        <v>2.1747022623633063E-2</v>
      </c>
      <c r="S188" s="10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0"/>
        <v>478792</v>
      </c>
      <c r="D189" s="4">
        <f>67+51+1</f>
        <v>119</v>
      </c>
      <c r="E189" s="7">
        <f t="shared" si="29"/>
        <v>9858</v>
      </c>
      <c r="F189" s="29">
        <v>357388</v>
      </c>
      <c r="G189" s="4">
        <v>2512</v>
      </c>
      <c r="H189" s="4">
        <v>15262</v>
      </c>
      <c r="I189" s="4">
        <f t="shared" si="31"/>
        <v>1412149</v>
      </c>
      <c r="J189" s="7">
        <f t="shared" si="33"/>
        <v>1235.9904000000097</v>
      </c>
      <c r="K189" s="7">
        <f t="shared" si="32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8"/>
        <v>72610</v>
      </c>
      <c r="Q189" s="77">
        <f t="shared" si="17"/>
        <v>0.99715164311930504</v>
      </c>
      <c r="R189" s="1">
        <f t="shared" si="34"/>
        <v>2.2519857278611513E-2</v>
      </c>
      <c r="S189" s="103">
        <f t="shared" si="16"/>
        <v>2.0589316446390081E-2</v>
      </c>
    </row>
    <row r="190" spans="1:20" x14ac:dyDescent="0.25">
      <c r="A190" s="94">
        <v>44081</v>
      </c>
      <c r="B190" s="47">
        <v>9215</v>
      </c>
      <c r="C190" s="67">
        <f t="shared" si="30"/>
        <v>488007</v>
      </c>
      <c r="D190" s="47">
        <f>53+215</f>
        <v>268</v>
      </c>
      <c r="E190" s="67">
        <f t="shared" si="29"/>
        <v>10126</v>
      </c>
      <c r="F190" s="92">
        <v>366590</v>
      </c>
      <c r="G190" s="47">
        <v>2698</v>
      </c>
      <c r="H190" s="47">
        <v>20475</v>
      </c>
      <c r="I190" s="47">
        <f t="shared" si="31"/>
        <v>1432624</v>
      </c>
      <c r="J190" s="67">
        <f t="shared" si="33"/>
        <v>1252.6800000000512</v>
      </c>
      <c r="K190" s="7">
        <f t="shared" si="32"/>
        <v>781672.32</v>
      </c>
      <c r="L190" s="47">
        <v>782925</v>
      </c>
      <c r="M190" s="47">
        <v>1217</v>
      </c>
      <c r="N190" s="47">
        <v>107504</v>
      </c>
      <c r="O190" s="47">
        <v>307566</v>
      </c>
      <c r="P190" s="47">
        <f t="shared" si="28"/>
        <v>71720</v>
      </c>
      <c r="Q190" s="77">
        <f t="shared" si="17"/>
        <v>0.9986641275616065</v>
      </c>
      <c r="R190" s="77">
        <f t="shared" si="34"/>
        <v>2.4242750986153416E-2</v>
      </c>
      <c r="S190" s="103">
        <f>E190/C190</f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0"/>
        <v>500034</v>
      </c>
      <c r="D191" s="4">
        <f>50+227</f>
        <v>277</v>
      </c>
      <c r="E191" s="7">
        <f t="shared" si="29"/>
        <v>10403</v>
      </c>
      <c r="F191" s="29">
        <v>382490</v>
      </c>
      <c r="G191" s="4">
        <v>2719</v>
      </c>
      <c r="H191" s="4">
        <v>25995</v>
      </c>
      <c r="I191" s="4">
        <f t="shared" si="31"/>
        <v>1458619</v>
      </c>
      <c r="J191" s="7">
        <f t="shared" si="33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8"/>
        <v>73038</v>
      </c>
      <c r="Q191" s="1">
        <f>AVERAGE(B185:B191)/AVERAGE(B184:B190)</f>
        <v>1.0216729280510017</v>
      </c>
      <c r="R191" s="1">
        <f t="shared" si="34"/>
        <v>2.5377773214735722E-2</v>
      </c>
      <c r="S191" s="4">
        <f>E191/C191</f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0"/>
        <v>512293</v>
      </c>
      <c r="D192" s="4">
        <f>52+202</f>
        <v>254</v>
      </c>
      <c r="E192" s="7">
        <f t="shared" si="29"/>
        <v>10657</v>
      </c>
      <c r="F192" s="29">
        <v>390098</v>
      </c>
      <c r="G192" s="4">
        <v>2829</v>
      </c>
      <c r="H192" s="4">
        <v>27171</v>
      </c>
      <c r="I192" s="4">
        <f>I191+H192</f>
        <v>1485790</v>
      </c>
      <c r="J192" s="7">
        <f t="shared" si="33"/>
        <v>1293.7232000000076</v>
      </c>
      <c r="K192" s="7">
        <f>0.9984*L192</f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8"/>
        <v>74787</v>
      </c>
      <c r="Q192" s="4"/>
      <c r="R192" s="1">
        <f t="shared" si="34"/>
        <v>2.5363553228496118E-2</v>
      </c>
      <c r="S192" s="4">
        <f>E192/C192</f>
        <v>2.0802548541557272E-2</v>
      </c>
    </row>
    <row r="193" spans="1:19" x14ac:dyDescent="0.25">
      <c r="A193" s="76">
        <v>44084</v>
      </c>
      <c r="B193" s="4">
        <v>11905</v>
      </c>
      <c r="C193" s="7">
        <f>C192+B193</f>
        <v>524198</v>
      </c>
      <c r="D193" s="4">
        <f>55+195</f>
        <v>250</v>
      </c>
      <c r="E193" s="7">
        <f>E192+D193</f>
        <v>10907</v>
      </c>
      <c r="F193" s="29">
        <v>400121</v>
      </c>
      <c r="G193" s="4">
        <v>2880</v>
      </c>
      <c r="H193" s="4">
        <v>28057</v>
      </c>
      <c r="I193" s="4">
        <f>I192+H193</f>
        <v>1513847</v>
      </c>
      <c r="J193" s="7">
        <f t="shared" si="33"/>
        <v>1315.7488000000594</v>
      </c>
      <c r="K193" s="7">
        <f>0.9984*L193</f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8"/>
        <v>76356</v>
      </c>
      <c r="Q193" s="4"/>
      <c r="R193" s="1">
        <f t="shared" si="34"/>
        <v>2.5448440399399135E-2</v>
      </c>
      <c r="S193" s="4">
        <f>E193/C193</f>
        <v>2.0807023300355974E-2</v>
      </c>
    </row>
    <row r="194" spans="1:19" s="103" customFormat="1" x14ac:dyDescent="0.25">
      <c r="A194" s="94">
        <v>44085</v>
      </c>
      <c r="B194" s="77">
        <v>11507</v>
      </c>
      <c r="C194" s="150">
        <f>C193+B194</f>
        <v>535705</v>
      </c>
      <c r="D194" s="77">
        <f>87+154</f>
        <v>241</v>
      </c>
      <c r="E194" s="150">
        <f>E193+D194</f>
        <v>11148</v>
      </c>
      <c r="F194" s="144">
        <v>409771</v>
      </c>
      <c r="G194" s="77">
        <v>3093</v>
      </c>
      <c r="H194" s="151">
        <v>26254</v>
      </c>
      <c r="I194" s="47">
        <f>I193+H194</f>
        <v>1540101</v>
      </c>
      <c r="J194" s="67">
        <f t="shared" ref="J194:J198" si="35">L194-K194</f>
        <v>1338.017600000021</v>
      </c>
      <c r="K194" s="67">
        <f>0.9984*L194</f>
        <v>834922.98239999998</v>
      </c>
      <c r="L194" s="47">
        <v>836261</v>
      </c>
      <c r="M194" s="47">
        <v>1229</v>
      </c>
      <c r="N194" s="47">
        <v>116159</v>
      </c>
      <c r="O194" s="47">
        <v>340885</v>
      </c>
      <c r="P194" s="47">
        <f t="shared" si="28"/>
        <v>77432</v>
      </c>
      <c r="Q194" s="47"/>
      <c r="R194" s="77">
        <f t="shared" si="34"/>
        <v>2.6945794783335947E-2</v>
      </c>
      <c r="S194" s="47">
        <f>E194/C194</f>
        <v>2.0809960705985571E-2</v>
      </c>
    </row>
    <row r="195" spans="1:19" x14ac:dyDescent="0.25">
      <c r="A195" s="76">
        <v>44086</v>
      </c>
      <c r="B195" s="1">
        <v>10776</v>
      </c>
      <c r="C195" s="21">
        <f>C194+B195</f>
        <v>546481</v>
      </c>
      <c r="D195" s="1">
        <f>57+58</f>
        <v>115</v>
      </c>
      <c r="E195" s="21">
        <f>E194+D195</f>
        <v>11263</v>
      </c>
      <c r="F195" s="85">
        <v>419513</v>
      </c>
      <c r="G195" s="1">
        <v>2962</v>
      </c>
      <c r="H195" s="4">
        <v>23140</v>
      </c>
      <c r="I195" s="4">
        <f>I194+H195</f>
        <v>1563241</v>
      </c>
      <c r="J195" s="7">
        <f t="shared" si="35"/>
        <v>1355.5903999999864</v>
      </c>
      <c r="K195" s="7">
        <f>0.9984*L195</f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8"/>
        <v>80017</v>
      </c>
      <c r="Q195" s="4"/>
      <c r="R195" s="1">
        <f t="shared" si="34"/>
        <v>2.5599585151894904E-2</v>
      </c>
      <c r="S195" s="4">
        <f>E195/C195</f>
        <v>2.0610048656769402E-2</v>
      </c>
    </row>
    <row r="196" spans="1:19" ht="16.5" x14ac:dyDescent="0.25">
      <c r="A196" s="76">
        <v>44087</v>
      </c>
      <c r="B196" s="1">
        <v>9056</v>
      </c>
      <c r="C196" s="149">
        <f>C195+B196</f>
        <v>555537</v>
      </c>
      <c r="D196" s="1">
        <f>44+45</f>
        <v>89</v>
      </c>
      <c r="E196" s="21">
        <f>E195+D196</f>
        <v>11352</v>
      </c>
      <c r="F196" s="85">
        <v>428953</v>
      </c>
      <c r="G196" s="1">
        <v>2984</v>
      </c>
      <c r="H196" s="4">
        <v>17955</v>
      </c>
      <c r="I196" s="4">
        <f>I195+H196</f>
        <v>1581196</v>
      </c>
      <c r="J196" s="7">
        <f t="shared" si="35"/>
        <v>1368.1983999999939</v>
      </c>
      <c r="K196" s="7">
        <f>0.9984*L196</f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8"/>
        <v>82734</v>
      </c>
      <c r="Q196" s="19"/>
      <c r="R196" s="1">
        <f t="shared" si="34"/>
        <v>2.5895584559844486E-2</v>
      </c>
      <c r="S196" s="4">
        <f>E196/C196</f>
        <v>2.0434282505035668E-2</v>
      </c>
    </row>
    <row r="197" spans="1:19" ht="16.5" x14ac:dyDescent="0.25">
      <c r="A197" s="94">
        <v>44088</v>
      </c>
      <c r="B197" s="47">
        <v>9909</v>
      </c>
      <c r="C197" s="156">
        <f>C196+B197</f>
        <v>565446</v>
      </c>
      <c r="D197" s="47">
        <f>60+255</f>
        <v>315</v>
      </c>
      <c r="E197" s="67">
        <f>E196+D197</f>
        <v>11667</v>
      </c>
      <c r="F197" s="144">
        <v>438883</v>
      </c>
      <c r="G197" s="47">
        <v>2992</v>
      </c>
      <c r="H197" s="47">
        <v>21207</v>
      </c>
      <c r="I197" s="47">
        <f>I196+H197</f>
        <v>1602403</v>
      </c>
      <c r="J197" s="67">
        <f t="shared" si="35"/>
        <v>1385.3168000000296</v>
      </c>
      <c r="K197" s="67">
        <f>0.9984*L197</f>
        <v>864437.68319999997</v>
      </c>
      <c r="L197" s="47">
        <v>865823</v>
      </c>
      <c r="M197" s="47">
        <v>1236</v>
      </c>
      <c r="N197" s="47">
        <v>120192</v>
      </c>
      <c r="O197" s="47">
        <v>361677</v>
      </c>
      <c r="P197" s="47">
        <f t="shared" si="28"/>
        <v>82341</v>
      </c>
      <c r="R197" s="25">
        <f t="shared" si="34"/>
        <v>2.6040941373067818E-2</v>
      </c>
      <c r="S197" s="6">
        <f>E197/C197</f>
        <v>2.0633270020479409E-2</v>
      </c>
    </row>
    <row r="198" spans="1:19" ht="16.5" x14ac:dyDescent="0.25">
      <c r="A198" s="76">
        <v>44089</v>
      </c>
      <c r="B198" s="4">
        <v>11892</v>
      </c>
      <c r="C198" s="149">
        <f>C197+B198</f>
        <v>577338</v>
      </c>
      <c r="D198" s="4">
        <f>43+142</f>
        <v>185</v>
      </c>
      <c r="E198" s="7">
        <f>E197+D198</f>
        <v>11852</v>
      </c>
      <c r="F198" s="85">
        <v>448263</v>
      </c>
      <c r="G198" s="4">
        <v>3049</v>
      </c>
      <c r="H198" s="4">
        <v>25791</v>
      </c>
      <c r="I198" s="4">
        <f>I197+H198</f>
        <v>1628194</v>
      </c>
      <c r="J198" s="7">
        <f t="shared" si="35"/>
        <v>1407.344000000041</v>
      </c>
      <c r="K198" s="7">
        <f>0.9984*L198</f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8"/>
        <v>78619</v>
      </c>
      <c r="Q198" s="4"/>
      <c r="R198" s="1">
        <f t="shared" si="34"/>
        <v>2.6010253960400263E-2</v>
      </c>
      <c r="S198" s="4"/>
    </row>
    <row r="199" spans="1:19" ht="16.5" x14ac:dyDescent="0.25">
      <c r="A199" s="76">
        <v>44090</v>
      </c>
      <c r="B199" s="36">
        <v>11674</v>
      </c>
      <c r="C199" s="149">
        <f>C198+B199</f>
        <v>589012</v>
      </c>
      <c r="D199" s="6">
        <f>58+206</f>
        <v>264</v>
      </c>
      <c r="E199" s="7">
        <f>E198+D199</f>
        <v>12116</v>
      </c>
      <c r="F199" s="85">
        <v>448263</v>
      </c>
      <c r="G199" s="6">
        <v>3118</v>
      </c>
      <c r="R199" s="25">
        <f t="shared" si="34"/>
        <v>2.4239503082412756E-2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754"/>
  <sheetViews>
    <sheetView zoomScale="85" zoomScaleNormal="85" workbookViewId="0">
      <pane ySplit="1" topLeftCell="A4733" activePane="bottomLeft" state="frozen"/>
      <selection activeCell="D2374" sqref="A1:D2374"/>
      <selection pane="bottomLeft" activeCell="C4754" sqref="C4754"/>
    </sheetView>
  </sheetViews>
  <sheetFormatPr baseColWidth="10" defaultRowHeight="15" x14ac:dyDescent="0.25"/>
  <cols>
    <col min="1" max="1" width="22.7109375" style="62" customWidth="1"/>
    <col min="2" max="2" width="11.42578125" style="4"/>
    <col min="3" max="3" width="10.28515625" style="4" customWidth="1"/>
    <col min="4" max="4" width="11.42578125" style="29" customWidth="1"/>
    <col min="5" max="5" width="8" style="4" customWidth="1"/>
    <col min="6" max="6" width="11.7109375" style="145" customWidth="1"/>
    <col min="7" max="7" width="8.28515625" customWidth="1"/>
    <col min="8" max="8" width="8" customWidth="1"/>
  </cols>
  <sheetData>
    <row r="1" spans="1:6" x14ac:dyDescent="0.25">
      <c r="A1" s="93" t="s">
        <v>31</v>
      </c>
      <c r="B1" s="47" t="s">
        <v>32</v>
      </c>
      <c r="C1" s="47" t="s">
        <v>33</v>
      </c>
      <c r="D1" s="92" t="s">
        <v>34</v>
      </c>
      <c r="E1" s="91" t="s">
        <v>117</v>
      </c>
      <c r="F1" s="143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5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5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5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5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5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5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5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5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5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5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5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5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5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5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5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5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5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5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5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5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5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5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5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5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5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5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5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5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5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5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5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5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5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5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5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5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5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5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5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5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5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5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5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5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5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5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5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5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5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5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5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5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5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5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5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5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5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5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5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5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5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5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5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5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5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5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5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5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5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5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5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5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5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5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5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5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5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5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5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5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5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5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5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5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5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5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5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5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5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5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5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5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5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5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5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5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5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5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5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5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5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5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5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5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5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5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5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5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5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5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5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5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5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5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5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5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5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5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5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5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5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5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5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5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5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5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5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5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5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5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5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5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5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5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5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5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5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5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5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5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5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5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5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5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5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5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5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5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5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5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5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5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5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5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5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5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5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5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5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5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5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5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5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5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5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5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5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5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5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5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5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5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5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5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5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5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5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5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5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5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5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5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5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5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5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5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5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5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5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5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5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5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5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5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5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5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5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5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5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5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5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5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5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5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5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5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5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5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5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5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5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5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5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5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5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5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5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5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5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5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5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5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5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5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5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5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5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5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5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5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5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5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5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5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5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5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5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5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5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5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5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5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5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5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5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5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5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5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5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5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5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5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5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5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5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5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5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5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5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5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5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5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5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5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5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5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5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5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5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5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5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5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5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5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5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5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5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5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5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5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5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5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5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5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5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5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5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5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5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5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5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5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5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5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5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5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5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5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5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5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5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5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5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5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5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5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5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5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5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5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5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5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5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5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5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5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5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5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5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5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5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5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5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5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5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5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5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5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5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5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5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5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5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5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5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5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5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5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5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5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5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5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5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5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5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5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5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5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5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5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5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5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5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5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5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5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5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5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5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5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5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5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5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5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5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5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5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5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5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5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5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5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5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5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5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5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5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5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5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5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5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5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5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5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5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5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5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5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5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5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5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5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5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5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5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5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5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5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5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5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5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5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5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5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5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5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5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5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5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5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5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5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5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5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5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5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5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5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5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5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5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5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5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5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5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5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5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5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5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5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5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5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5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5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5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5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5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5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5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5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5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5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5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5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5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5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5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5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5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5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5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5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5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5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5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5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5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5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5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5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5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5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5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5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5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5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5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5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5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5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5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5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5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5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5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5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5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5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5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5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5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5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5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5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5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5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5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5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5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5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5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5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5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5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5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5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5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5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5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5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5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5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5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5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5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5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5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5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5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5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5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5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5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5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5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5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5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5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5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5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5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5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5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5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5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5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5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5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5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5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5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5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5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5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5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5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5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5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5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5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5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5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5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5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5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5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5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5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5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5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5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5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5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5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5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5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5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5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5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5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5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5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5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5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5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5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5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5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5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5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5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5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5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5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5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5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5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5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5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5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5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5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5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5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5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5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5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5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5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5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5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5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5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5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5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5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5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5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5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5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5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5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5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5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5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5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5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5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5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5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5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5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5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5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5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5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5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5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5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5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5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5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5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5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5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5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5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5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5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5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5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5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5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5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5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5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5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5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5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5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5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5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5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5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5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5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5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5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5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5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5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5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5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5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5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5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5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5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5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5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5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5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5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5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5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5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5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5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5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5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5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5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5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5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5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5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5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5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5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5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5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5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5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5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5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5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5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5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5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5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5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5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5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5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5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5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5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5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5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5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5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5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5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5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5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5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5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5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5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5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5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5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5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5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5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5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5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5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5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5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5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5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5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5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5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5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5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5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5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5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5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5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5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5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5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5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5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5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5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5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5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5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5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5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5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5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5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5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5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5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5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5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5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5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5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5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5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5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5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5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5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5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5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5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5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5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5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5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5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5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5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5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5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5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5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5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5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5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5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5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5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5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5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5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5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5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5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5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5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5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5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5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5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5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5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5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5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5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5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5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5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5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5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5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5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5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5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5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5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5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5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5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5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5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5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5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5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5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5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5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5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5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5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5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5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5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5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5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5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5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5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5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5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5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5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5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5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5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5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5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5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5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5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5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5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5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5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5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5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5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5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5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5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5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5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5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5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5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5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5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5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5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5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5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5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5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5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5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5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5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5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5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5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5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5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5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5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5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5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5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5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5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5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5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5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5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5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5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5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5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5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5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5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5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5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5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5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5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5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5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5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5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5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5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5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5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5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5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5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5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5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5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5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5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5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5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5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5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5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5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5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5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5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5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5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5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5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5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5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5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5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5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5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5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5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5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5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5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5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5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5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5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5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5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5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5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5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5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5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5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5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5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5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5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5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5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5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5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5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5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5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5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5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5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5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5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5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5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5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5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5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5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5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5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5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5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5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5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5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5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5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5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5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5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5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5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5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5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5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5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5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5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5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5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5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5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5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5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5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5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5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5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5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5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5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5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5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5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5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5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5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5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5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5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5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5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5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5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5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5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5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5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5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5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5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5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5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5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5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5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5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5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5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5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5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5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5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5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5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5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5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5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5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5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5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5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5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5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5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5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5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5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5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5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5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5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5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5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5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5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5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5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5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5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5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5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5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5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5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5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5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5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5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5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5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5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5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5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5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5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5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5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5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5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5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5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5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5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5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5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5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5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5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5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5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5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5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5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5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5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5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5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5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5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5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5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5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5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5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5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5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5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5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5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5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5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5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5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5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5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5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5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5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5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5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5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5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5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5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5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5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5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5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5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5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5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5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5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5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5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5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5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5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5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5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5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5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5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5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5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5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5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5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5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5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5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5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5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5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5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5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5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5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5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5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5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5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5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5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5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5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5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5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5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5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5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5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5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5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5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5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5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5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5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5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5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5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5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5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5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5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5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5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5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5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5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5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5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5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5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5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5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5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5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5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5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5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5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5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5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5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5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5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5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5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5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5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5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5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5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5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5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5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5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5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5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5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5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5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5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5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5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5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5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5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5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5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5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5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5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5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5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5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5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5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5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5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5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5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5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5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5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5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5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5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5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5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5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5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5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5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5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5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5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5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5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5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5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5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5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5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5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5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5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5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5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5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5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5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5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5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5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5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5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5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5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5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5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5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5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5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5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5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5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5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5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5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5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5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5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5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5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5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5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5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5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5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5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5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5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5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5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5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5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5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5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5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5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5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5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5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5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5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5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5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5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5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5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5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5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5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5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5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5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5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5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5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5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5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5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5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5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5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5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5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5">
        <f t="shared" ref="F1347:F1353" si="53">E1347+F1323</f>
        <v>0</v>
      </c>
      <c r="G1347" s="96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5">
        <f t="shared" si="53"/>
        <v>12</v>
      </c>
      <c r="G1348" s="96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5">
        <f t="shared" si="53"/>
        <v>1</v>
      </c>
      <c r="G1349" s="96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5">
        <f t="shared" si="53"/>
        <v>61</v>
      </c>
      <c r="G1350" s="96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5">
        <f t="shared" si="53"/>
        <v>14</v>
      </c>
      <c r="G1351" s="96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5">
        <f t="shared" si="53"/>
        <v>0</v>
      </c>
      <c r="G1352" s="96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5">
        <f t="shared" si="53"/>
        <v>0</v>
      </c>
      <c r="G1353" s="96"/>
    </row>
    <row r="1354" spans="1:7" s="96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5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5">
        <f t="shared" si="54"/>
        <v>0</v>
      </c>
      <c r="G1355" s="96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5">
        <f t="shared" si="54"/>
        <v>0</v>
      </c>
      <c r="G1356" s="96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5">
        <f t="shared" si="54"/>
        <v>0</v>
      </c>
      <c r="G1357" s="96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5">
        <f t="shared" si="54"/>
        <v>6</v>
      </c>
      <c r="G1358" s="96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5">
        <f t="shared" si="54"/>
        <v>9</v>
      </c>
      <c r="G1359" s="96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5">
        <f t="shared" si="54"/>
        <v>2</v>
      </c>
      <c r="G1360" s="96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5">
        <f t="shared" si="54"/>
        <v>3</v>
      </c>
      <c r="G1361" s="96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5">
        <f t="shared" si="54"/>
        <v>8</v>
      </c>
      <c r="G1362" s="96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5">
        <f t="shared" si="54"/>
        <v>0</v>
      </c>
      <c r="G1363" s="96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5">
        <f t="shared" si="54"/>
        <v>0</v>
      </c>
      <c r="G1364" s="96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5">
        <f t="shared" si="54"/>
        <v>0</v>
      </c>
      <c r="G1365" s="96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5">
        <f>E1366+F1342</f>
        <v>2</v>
      </c>
      <c r="G1366" s="96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5">
        <f>E1367+F1343</f>
        <v>0</v>
      </c>
      <c r="G1367" s="96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5">
        <f t="shared" si="54"/>
        <v>0</v>
      </c>
      <c r="G1368" s="96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5">
        <f>E1369+F1345</f>
        <v>2</v>
      </c>
      <c r="G1369" s="96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5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5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5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5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5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5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5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5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5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5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5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5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5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5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5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5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5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5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5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5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5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5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5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5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5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5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5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5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5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5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5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5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5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5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5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5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5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5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5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5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5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5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5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5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5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5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5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5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5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5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5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5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5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5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5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5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5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5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5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5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5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5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5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5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5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5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5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5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5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5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5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5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5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5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5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5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5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5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5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5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5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5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5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5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5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5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5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5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5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5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5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5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5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5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5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5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5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5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5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5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5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5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5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5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5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5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5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5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5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5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5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5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5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5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5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5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5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5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5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5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5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5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5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5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5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5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5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5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5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5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5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5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5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5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5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5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5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5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5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5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5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5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5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5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5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5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5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5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5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5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5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5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5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5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5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5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5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5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5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5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5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5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5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5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5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5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5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5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5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5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5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5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5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5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5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5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5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5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5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5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5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5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5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5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5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5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5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5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5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5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5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5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5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5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5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5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5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5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5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5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5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5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5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5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5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5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5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5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5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5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5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5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5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5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5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5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5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5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5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5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5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5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5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5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5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5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5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5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5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5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5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5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5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5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5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5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5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5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5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5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5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5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5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5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5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5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5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5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5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5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5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5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5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5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5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5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5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5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5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5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5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5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5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5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5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5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5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5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5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5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5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5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5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5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5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5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5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5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5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5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5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5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5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5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5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5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5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5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5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5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5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5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5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5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5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5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5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5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5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5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5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5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5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5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5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5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5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5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5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5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5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5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5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5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5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5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5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5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5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5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5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5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5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5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5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5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5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5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5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5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5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5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5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5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5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5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5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5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5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5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5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5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5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5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5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5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5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5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5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5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5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5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5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5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5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5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5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5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5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5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5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5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5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5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5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5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5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5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5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5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5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5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5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5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5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5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5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5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5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5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5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5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5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5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5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5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5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5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5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5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5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5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5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5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5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5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5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5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5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5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5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5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5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5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5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5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5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5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5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5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5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5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5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5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5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5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5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5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5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5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5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5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5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5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5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5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5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5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5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5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5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5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5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5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5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5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5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5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5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5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5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5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5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5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5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5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5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5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5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5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5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5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5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5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5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5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5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5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5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5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5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5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5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5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5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5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5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5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5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5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5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5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5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5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5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5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5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5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5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5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5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5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5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5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5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5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5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5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5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5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5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5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5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5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5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5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5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5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5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5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5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5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5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5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5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5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5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5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5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5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5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5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5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5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5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5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5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5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5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5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5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5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5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5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5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5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5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5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5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5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5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5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5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5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5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5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5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5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5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5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5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5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5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5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5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5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5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5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5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5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5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5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5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5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5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5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5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5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5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5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5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5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5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5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5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5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5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5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5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5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5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5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5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5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5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5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5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5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5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5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5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5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5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5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5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5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5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5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5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5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5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5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5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5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5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5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5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5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5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5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5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5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5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5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5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5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5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5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5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5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5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5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5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5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5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5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5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5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5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5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5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5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5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5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5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5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5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5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5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5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5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5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5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5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5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5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5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5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5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5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5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5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5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5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5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5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5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5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5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5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5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5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5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5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5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5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5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5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5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5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5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5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5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5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5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5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5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5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5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5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5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5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5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5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5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5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5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5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5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5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5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5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5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5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5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5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5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5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5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5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5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5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5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5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5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5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5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5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5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5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5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5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5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5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5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5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5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5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5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5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5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5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5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5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5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5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5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5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5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5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5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5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5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5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5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5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5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5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5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5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5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5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5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5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5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5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5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5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5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5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5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5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5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5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5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5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5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5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5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5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5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5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5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5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5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5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5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5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5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5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5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5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5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5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5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5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5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5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5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5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5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5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5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5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5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5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5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5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5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5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5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5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5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5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5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5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5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5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5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5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5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5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5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5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5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5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5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5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5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5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5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5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5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5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5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5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5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5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5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5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5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5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5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5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5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5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5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5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5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5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5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5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5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5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5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5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5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5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5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5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5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5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5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5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5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5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5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5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5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5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5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5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5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5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5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5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5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5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5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5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5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5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5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5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5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5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5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5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5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5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5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5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5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5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5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5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5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5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5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5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5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5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5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5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5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5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5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5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5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5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5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5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5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5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5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5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5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5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5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5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5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5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5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5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5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5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5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5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5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5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5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5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5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5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5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5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5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5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5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5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5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5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5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5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5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5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5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5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5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5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5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5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5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5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5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5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5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5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5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5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5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5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5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5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5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5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5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5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5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5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5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5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5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5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5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5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5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5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5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5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5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5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5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5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5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5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5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5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5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5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5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5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5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5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5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5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5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5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5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5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5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5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5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5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5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5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5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5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5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5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5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5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5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5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5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5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5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5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5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5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5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5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5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5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5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5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5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5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5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5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5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5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5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5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5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5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5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5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5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5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5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5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5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5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5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5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5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5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5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5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5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5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5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5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5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5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5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5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5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5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5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5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5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5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5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5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5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5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5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5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5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5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5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5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5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5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5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5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5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5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5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5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5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5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5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5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5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5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5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5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5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5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5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5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5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5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5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5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5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5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5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5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5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5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5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5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5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5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5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5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5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5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5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5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5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5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5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5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5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5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5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5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5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5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5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5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5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5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5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5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5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5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5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5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5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5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5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5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5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5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5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5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5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5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5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5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5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5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5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5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5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5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5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5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5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5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5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5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5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5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5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5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5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5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5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5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5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5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5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5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5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5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5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5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5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5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5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5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5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5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5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5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5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5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5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5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5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5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5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5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5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5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5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5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5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5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5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5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5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5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5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5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5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5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5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5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5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5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5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5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5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5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5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5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5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5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5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5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5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5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5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5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5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5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5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5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5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5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5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5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5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5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5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5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5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5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5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5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5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5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5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5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5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5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5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5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5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5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5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5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5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5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5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5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5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5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5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5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5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5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5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5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5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5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5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5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5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5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5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5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5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5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5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5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5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5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5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5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5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5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5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5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5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5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5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5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5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5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5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5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5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5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5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5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5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5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5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5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5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5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5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5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5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5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5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5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5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5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5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5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5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5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5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5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5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5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5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5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5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5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5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5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5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5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5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5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5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5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5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5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5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5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5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5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5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5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5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5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5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5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5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5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5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5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5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5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5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5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5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5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5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5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5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5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5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5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5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5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5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5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5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5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5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5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5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5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5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5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5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5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5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5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5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5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5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5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5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5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5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5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5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5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5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5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5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5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5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5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5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5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5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5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5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5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5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5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5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5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5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5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5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5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5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5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5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5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5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5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5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5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5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5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5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5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5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5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5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5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5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5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5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5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5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5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5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5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5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5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5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5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5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5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5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5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5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5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5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5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5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5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5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5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5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5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5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5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5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5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5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5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5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5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5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5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5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5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5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5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5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5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5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5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5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5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5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5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5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5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5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5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5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5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5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5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5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5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5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5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5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5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5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5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5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5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5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5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5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5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5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5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5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5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5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5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5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5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5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5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5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5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5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5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5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5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5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5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5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5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5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5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5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5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5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5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5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5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5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5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5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5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5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5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5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5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5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5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5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5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5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5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5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5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5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5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5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5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5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5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5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5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5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5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5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5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5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5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5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5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5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5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5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5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5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5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5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5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5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5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5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5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5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5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5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5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5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5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5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5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5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5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5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5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5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5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5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5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5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5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5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5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5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5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5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5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5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5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5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5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5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5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5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5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5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5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5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5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5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5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5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5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5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5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5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5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5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5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5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5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5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5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5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5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5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5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5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5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5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5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5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5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5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5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5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5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5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5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5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5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5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5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5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5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5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5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5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5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5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5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5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5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5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5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5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5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5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5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5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5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5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5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5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5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5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5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5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5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5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5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5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5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5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5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5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5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5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5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5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5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5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5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5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5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5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5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5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5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5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5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5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5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5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5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5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5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5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5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5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5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5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5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5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5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5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5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5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5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5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5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5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5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5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5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5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5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5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5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5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5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5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5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5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5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5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5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5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5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5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5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5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5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5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5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5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5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5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5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5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5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5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5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5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5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5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5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5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5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5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5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5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5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5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5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5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5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5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5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5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5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5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5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5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5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5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5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5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5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5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5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5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5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5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5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5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5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5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5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5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5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5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5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5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5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5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5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5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5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5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5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5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5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5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5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5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5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5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5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5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5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5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5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5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5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5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5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5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5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5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5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5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5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5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5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5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5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5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5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5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5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5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5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5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5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5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5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5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5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5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5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5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5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5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5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5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5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5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5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5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5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5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5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5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5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5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5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5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5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5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5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5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5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5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5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5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5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5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5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5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5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5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5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5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5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5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5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5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5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5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5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5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5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5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5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5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5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5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5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5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5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5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5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5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5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5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5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5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5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5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5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5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5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5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5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5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5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5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5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5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5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5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5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5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5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5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5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5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5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5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5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5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5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5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5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5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5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5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5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5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5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5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5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5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5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5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5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5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5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5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5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5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5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5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5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5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5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5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5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5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5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5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5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5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5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5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5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5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5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5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5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5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5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5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5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5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5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5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5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5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5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5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5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5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5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5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5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5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5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5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5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5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5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5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5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5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5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5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5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5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5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5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5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5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5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5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5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5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5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5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5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5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5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5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5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5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5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5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5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5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5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5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5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5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5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5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5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5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5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5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5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5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5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5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5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5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5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5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5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5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5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5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5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5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5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5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5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5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5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5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5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5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5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5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5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5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5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5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5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5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5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5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5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5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5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5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5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5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5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5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5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5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5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5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5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5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5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5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5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5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5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5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5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5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5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5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5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5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5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5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5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5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5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5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5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5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5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5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5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5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5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5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5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5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5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5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5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5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5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5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5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5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5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5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5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5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5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5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5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5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5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5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5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5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5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5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5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5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5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5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5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5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5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5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5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5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5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5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5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5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5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5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5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5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5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5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5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5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5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5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5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5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5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5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5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5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5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5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5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5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5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5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5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5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5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5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5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5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5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5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5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5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5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5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5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5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5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5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5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5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5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5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5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5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5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5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5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5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5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5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5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5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5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5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5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5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5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5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5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5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5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5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5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5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5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5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5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5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5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5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5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5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5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5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5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5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5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5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5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5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5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5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5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5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5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5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5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5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5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5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5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5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5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5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5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5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5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5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5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5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5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5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5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5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5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5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5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5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5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5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5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5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5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5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5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5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5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5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5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5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5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5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5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5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5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5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5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5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5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5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5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5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5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5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5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5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5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5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5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5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5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5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5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5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5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5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5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5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5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5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5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5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5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5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5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5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5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5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5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5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5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5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5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5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5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5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5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5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5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5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5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5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5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5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5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5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5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5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5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5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5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5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5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5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5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5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5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5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5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5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5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5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5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5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5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5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5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5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5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5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5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5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5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5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5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5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5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5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5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5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5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5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5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5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5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5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5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5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5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5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5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5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5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5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5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5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5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5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5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5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5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5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5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5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5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5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5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5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5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5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5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5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5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5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5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5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5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5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5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5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5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5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5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5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5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5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5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5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5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5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5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5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5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5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5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5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5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5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5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5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5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5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5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5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5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5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5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5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5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5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5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5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5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5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5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5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5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5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5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5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5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5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5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5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5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5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5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5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5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5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5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5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5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5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5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5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5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5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5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5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5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5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5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5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5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5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5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5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5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5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5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5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5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5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5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5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5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5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5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5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5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5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5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5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5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5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5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5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5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5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5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5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5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5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5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5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5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5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5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5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5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5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5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5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5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5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5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5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5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5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5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5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5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5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5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5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5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5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5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5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5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5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5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5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5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5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5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5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5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5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5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5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5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5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5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5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5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5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5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5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5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5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5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5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5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5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5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5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5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5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5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5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5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5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5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5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5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5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5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5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5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5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5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5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5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5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5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5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5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5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5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5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5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5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5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5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5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5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5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5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5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5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5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5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5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5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5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5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5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5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5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5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5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5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5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5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5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5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5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5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5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5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5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5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5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5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5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5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5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5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5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5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5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5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5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5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5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5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5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5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5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5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5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5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5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5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5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5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5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5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5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5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5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5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5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5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5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5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5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5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5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5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5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5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5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5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5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5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5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5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5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5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5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5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5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5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5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5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5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5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5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5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5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5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5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5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5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5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5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5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5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5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5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5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5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5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5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5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5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5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5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5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5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5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5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5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5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5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5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5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5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5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5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5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5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5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5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5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5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5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5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5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5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5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5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5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5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5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5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5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5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5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5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5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5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5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5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5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5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5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5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5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5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5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5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5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5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5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5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5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5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5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5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5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5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5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5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5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5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5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5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5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5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5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5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5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5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5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5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5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5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5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5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5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5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5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5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5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5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5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5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5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5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5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5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5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5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5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5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5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5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5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5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5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5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5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5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5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5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5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5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5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5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5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5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5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5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5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5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5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5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5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5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5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5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5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5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5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5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5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5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5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5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5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5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5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5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5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5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5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5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5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5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5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5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5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5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5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5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5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5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5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5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5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5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5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5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5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5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5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5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5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5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5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5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5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5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5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5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5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5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5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5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5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5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5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5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5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5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5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5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5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5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5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5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5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5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5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5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5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5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5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5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5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5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5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5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5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5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5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5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5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5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5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5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5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5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5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5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5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5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5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5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5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5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5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5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5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5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5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5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5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5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5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5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5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5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5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5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5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5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5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5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5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5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5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5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5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5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5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5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5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5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5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5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5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5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5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5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5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5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5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5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5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5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5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5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5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5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5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5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5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5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5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5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5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5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5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5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5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5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5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5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5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5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5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5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5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5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5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5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5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5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5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5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5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5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5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5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5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5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5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5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5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5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5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5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5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5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5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5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5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5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5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5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5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5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5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5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5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5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5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5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5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5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5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5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5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5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5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5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5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5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5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5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5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5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5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5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5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5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5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5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5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5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5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5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5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5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5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5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5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5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5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5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5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5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5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5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5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5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5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5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5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5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5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5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5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5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5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5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5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5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5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5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5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5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5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5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5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5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5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5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5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5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5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5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5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5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5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5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5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5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5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5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5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5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5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5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5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5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5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5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5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5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5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5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5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5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5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5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5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5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5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5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5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5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5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5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5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5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5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5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5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5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5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5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5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5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5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5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5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5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5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5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5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5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5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5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5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5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5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5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5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5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5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5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5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5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5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5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5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5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5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5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5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5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5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5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5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5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5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5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5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5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5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5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5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5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5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5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5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5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5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5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5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5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5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5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5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5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5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5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5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5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5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5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5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5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5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5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5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5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5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5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5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5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5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5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5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5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5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5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5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5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5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5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5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5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5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5">
        <f t="shared" ref="F4467:F4505" si="369">E4467+F4443</f>
        <v>2372</v>
      </c>
      <c r="J4467" s="96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5">
        <f t="shared" si="369"/>
        <v>0</v>
      </c>
      <c r="J4468" s="96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5">
        <f t="shared" si="369"/>
        <v>221</v>
      </c>
      <c r="J4469" s="96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5">
        <f t="shared" si="369"/>
        <v>7</v>
      </c>
      <c r="J4470" s="96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5">
        <f t="shared" si="369"/>
        <v>154</v>
      </c>
      <c r="J4471" s="96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5">
        <f t="shared" si="369"/>
        <v>5</v>
      </c>
      <c r="J4472" s="96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5">
        <f t="shared" si="369"/>
        <v>59</v>
      </c>
      <c r="J4473" s="96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5">
        <f>E4474+F4450</f>
        <v>1</v>
      </c>
      <c r="J4474" s="96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5">
        <f t="shared" si="369"/>
        <v>215</v>
      </c>
      <c r="J4475" s="96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5">
        <f t="shared" si="369"/>
        <v>4</v>
      </c>
      <c r="J4476" s="96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5">
        <f t="shared" si="369"/>
        <v>39</v>
      </c>
      <c r="J4477" s="96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5">
        <f t="shared" si="369"/>
        <v>89</v>
      </c>
      <c r="J4478" s="96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5">
        <f t="shared" si="369"/>
        <v>2</v>
      </c>
      <c r="J4479" s="96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5">
        <f t="shared" si="369"/>
        <v>30</v>
      </c>
      <c r="J4480" s="96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5">
        <f t="shared" si="369"/>
        <v>123</v>
      </c>
      <c r="J4481" s="96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5">
        <f>E4482+F4458</f>
        <v>56</v>
      </c>
      <c r="J4482" s="96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5">
        <f>E4483+F4459</f>
        <v>0</v>
      </c>
      <c r="J4483" s="96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5">
        <f t="shared" si="369"/>
        <v>0</v>
      </c>
      <c r="J4484" s="96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5">
        <f t="shared" ref="F4485:F4490" si="371">E4485+F4461</f>
        <v>16</v>
      </c>
      <c r="J4485" s="96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5">
        <f t="shared" si="371"/>
        <v>119</v>
      </c>
      <c r="J4486" s="96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5">
        <f t="shared" si="371"/>
        <v>16</v>
      </c>
      <c r="J4487" s="96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5">
        <f t="shared" si="371"/>
        <v>37</v>
      </c>
      <c r="J4488" s="96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5">
        <f t="shared" si="371"/>
        <v>15</v>
      </c>
      <c r="J4489" s="96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5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5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5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5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5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5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5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5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5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5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5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5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5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5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5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5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5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5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5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5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5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5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5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5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5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5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5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5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5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5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5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5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5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5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5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5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5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5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5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5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5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5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5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5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5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5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5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5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5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5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5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5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5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5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5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5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5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5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5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5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5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5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5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5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5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5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5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5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5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5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5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2">
        <f t="shared" si="381"/>
        <v>4746</v>
      </c>
      <c r="E4561" s="47">
        <f>1</f>
        <v>1</v>
      </c>
      <c r="F4561" s="85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40">
        <f>C4562+D4538</f>
        <v>310254</v>
      </c>
      <c r="E4562" s="50">
        <f>16+12+1+70+55</f>
        <v>154</v>
      </c>
      <c r="F4562" s="85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8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8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8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8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8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8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8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5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8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8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8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8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8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8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8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8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5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8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5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5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5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5">
        <f t="shared" si="387"/>
        <v>39</v>
      </c>
    </row>
    <row r="4585" spans="1:6" ht="15.75" thickBot="1" x14ac:dyDescent="0.3">
      <c r="A4585" s="104" t="s">
        <v>47</v>
      </c>
      <c r="B4585" s="46">
        <v>44083</v>
      </c>
      <c r="C4585" s="47">
        <v>390</v>
      </c>
      <c r="D4585" s="92">
        <f t="shared" si="386"/>
        <v>5136</v>
      </c>
      <c r="E4585" s="47"/>
      <c r="F4585" s="85">
        <f t="shared" si="387"/>
        <v>17</v>
      </c>
    </row>
    <row r="4586" spans="1:6" x14ac:dyDescent="0.25">
      <c r="A4586" s="65" t="s">
        <v>22</v>
      </c>
      <c r="B4586" s="49">
        <v>44084</v>
      </c>
      <c r="C4586" s="105">
        <v>6252</v>
      </c>
      <c r="D4586" s="140">
        <f>C4586+D4562</f>
        <v>316506</v>
      </c>
      <c r="E4586" s="50">
        <f>29+9+62+41</f>
        <v>141</v>
      </c>
      <c r="F4586" s="85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8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8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8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8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8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8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8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5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8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8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8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8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8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8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8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8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5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8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5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5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5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5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6">
        <v>283</v>
      </c>
      <c r="D4609" s="141">
        <f t="shared" si="389"/>
        <v>5419</v>
      </c>
      <c r="E4609" s="54"/>
      <c r="F4609" s="85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40">
        <f>C4610+D4586</f>
        <v>322238</v>
      </c>
      <c r="E4610" s="48">
        <v>128</v>
      </c>
      <c r="F4610" s="85">
        <f t="shared" si="390"/>
        <v>6757</v>
      </c>
      <c r="G4610" s="135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8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8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8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8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8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8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8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5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8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8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8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8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8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8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8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8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5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8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5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5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8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8">
        <f>E4632+F4608</f>
        <v>41</v>
      </c>
    </row>
    <row r="4633" spans="1:6" ht="15.75" thickBot="1" x14ac:dyDescent="0.3">
      <c r="A4633" s="104" t="s">
        <v>47</v>
      </c>
      <c r="B4633" s="46">
        <v>44085</v>
      </c>
      <c r="C4633" s="47">
        <v>472</v>
      </c>
      <c r="D4633" s="92">
        <f t="shared" si="393"/>
        <v>5891</v>
      </c>
      <c r="E4633" s="47">
        <f>1</f>
        <v>1</v>
      </c>
      <c r="F4633" s="144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40">
        <f>C4634+D4610</f>
        <v>328100</v>
      </c>
      <c r="E4634" s="50">
        <f>15+15+18+6</f>
        <v>54</v>
      </c>
      <c r="F4634" s="137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8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8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8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8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8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8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8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8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8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8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8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8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8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8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8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8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8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8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8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8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8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8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41">
        <f t="shared" si="396"/>
        <v>6045</v>
      </c>
      <c r="E4657" s="54">
        <f>1</f>
        <v>1</v>
      </c>
      <c r="F4657" s="139">
        <f>E4657+F4633</f>
        <v>19</v>
      </c>
    </row>
    <row r="4658" spans="1:6" x14ac:dyDescent="0.25">
      <c r="A4658" s="65" t="s">
        <v>22</v>
      </c>
      <c r="B4658" s="148">
        <v>44087</v>
      </c>
      <c r="C4658" s="48">
        <v>3689</v>
      </c>
      <c r="D4658" s="140">
        <f>C4658+D4634</f>
        <v>331789</v>
      </c>
      <c r="E4658" s="48">
        <f>11+3+11+13</f>
        <v>38</v>
      </c>
      <c r="F4658" s="137">
        <f>E4658+F4634</f>
        <v>6849</v>
      </c>
    </row>
    <row r="4659" spans="1:6" x14ac:dyDescent="0.25">
      <c r="A4659" s="51" t="s">
        <v>20</v>
      </c>
      <c r="B4659" s="148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8">
        <f>E4659+F4635</f>
        <v>2661</v>
      </c>
    </row>
    <row r="4660" spans="1:6" x14ac:dyDescent="0.25">
      <c r="A4660" s="51" t="s">
        <v>35</v>
      </c>
      <c r="B4660" s="148">
        <v>44087</v>
      </c>
      <c r="C4660" s="4">
        <v>4</v>
      </c>
      <c r="D4660" s="29">
        <f t="shared" si="397"/>
        <v>124</v>
      </c>
      <c r="F4660" s="138">
        <f>E4660+F4636</f>
        <v>0</v>
      </c>
    </row>
    <row r="4661" spans="1:6" x14ac:dyDescent="0.25">
      <c r="A4661" s="51" t="s">
        <v>21</v>
      </c>
      <c r="B4661" s="148">
        <v>44087</v>
      </c>
      <c r="C4661" s="4">
        <v>91</v>
      </c>
      <c r="D4661" s="29">
        <f t="shared" si="397"/>
        <v>6751</v>
      </c>
      <c r="E4661" s="4">
        <f>2</f>
        <v>2</v>
      </c>
      <c r="F4661" s="138">
        <f t="shared" ref="F4661:F4679" si="398">E4661+F4637</f>
        <v>238</v>
      </c>
    </row>
    <row r="4662" spans="1:6" x14ac:dyDescent="0.25">
      <c r="A4662" s="51" t="s">
        <v>36</v>
      </c>
      <c r="B4662" s="148">
        <v>44087</v>
      </c>
      <c r="C4662" s="4">
        <v>73</v>
      </c>
      <c r="D4662" s="29">
        <f t="shared" si="397"/>
        <v>1718</v>
      </c>
      <c r="F4662" s="138">
        <f t="shared" si="398"/>
        <v>14</v>
      </c>
    </row>
    <row r="4663" spans="1:6" x14ac:dyDescent="0.25">
      <c r="A4663" s="51" t="s">
        <v>27</v>
      </c>
      <c r="B4663" s="148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8">
        <f t="shared" si="398"/>
        <v>197</v>
      </c>
    </row>
    <row r="4664" spans="1:6" x14ac:dyDescent="0.25">
      <c r="A4664" s="51" t="s">
        <v>37</v>
      </c>
      <c r="B4664" s="148">
        <v>44087</v>
      </c>
      <c r="C4664" s="4">
        <v>1</v>
      </c>
      <c r="D4664" s="29">
        <f t="shared" si="397"/>
        <v>660</v>
      </c>
      <c r="F4664" s="138">
        <f t="shared" si="398"/>
        <v>6</v>
      </c>
    </row>
    <row r="4665" spans="1:6" x14ac:dyDescent="0.25">
      <c r="A4665" s="51" t="s">
        <v>38</v>
      </c>
      <c r="B4665" s="148">
        <v>44087</v>
      </c>
      <c r="C4665" s="4">
        <v>105</v>
      </c>
      <c r="D4665" s="29">
        <f t="shared" si="397"/>
        <v>5238</v>
      </c>
      <c r="E4665" s="4">
        <f>1</f>
        <v>1</v>
      </c>
      <c r="F4665" s="138">
        <f t="shared" si="398"/>
        <v>89</v>
      </c>
    </row>
    <row r="4666" spans="1:6" x14ac:dyDescent="0.25">
      <c r="A4666" s="51" t="s">
        <v>48</v>
      </c>
      <c r="B4666" s="148">
        <v>44087</v>
      </c>
      <c r="C4666" s="4">
        <v>-1</v>
      </c>
      <c r="D4666" s="29">
        <f t="shared" si="397"/>
        <v>94</v>
      </c>
      <c r="F4666" s="138">
        <f>E4666+F4642</f>
        <v>1</v>
      </c>
    </row>
    <row r="4667" spans="1:6" x14ac:dyDescent="0.25">
      <c r="A4667" s="51" t="s">
        <v>39</v>
      </c>
      <c r="B4667" s="148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8">
        <f t="shared" si="398"/>
        <v>256</v>
      </c>
    </row>
    <row r="4668" spans="1:6" x14ac:dyDescent="0.25">
      <c r="A4668" s="51" t="s">
        <v>40</v>
      </c>
      <c r="B4668" s="148">
        <v>44087</v>
      </c>
      <c r="C4668" s="4">
        <v>46</v>
      </c>
      <c r="D4668" s="29">
        <f t="shared" si="397"/>
        <v>397</v>
      </c>
      <c r="F4668" s="138">
        <f t="shared" si="398"/>
        <v>4</v>
      </c>
    </row>
    <row r="4669" spans="1:6" x14ac:dyDescent="0.25">
      <c r="A4669" s="51" t="s">
        <v>28</v>
      </c>
      <c r="B4669" s="148">
        <v>44087</v>
      </c>
      <c r="C4669" s="4">
        <v>96</v>
      </c>
      <c r="D4669" s="29">
        <f t="shared" si="397"/>
        <v>2808</v>
      </c>
      <c r="E4669" s="4">
        <f>1+3</f>
        <v>4</v>
      </c>
      <c r="F4669" s="138">
        <f t="shared" si="398"/>
        <v>58</v>
      </c>
    </row>
    <row r="4670" spans="1:6" x14ac:dyDescent="0.25">
      <c r="A4670" s="51" t="s">
        <v>24</v>
      </c>
      <c r="B4670" s="148">
        <v>44087</v>
      </c>
      <c r="C4670" s="4">
        <v>704</v>
      </c>
      <c r="D4670" s="29">
        <f t="shared" si="397"/>
        <v>14482</v>
      </c>
      <c r="E4670" s="4">
        <f>2</f>
        <v>2</v>
      </c>
      <c r="F4670" s="138">
        <f t="shared" si="398"/>
        <v>150</v>
      </c>
    </row>
    <row r="4671" spans="1:6" x14ac:dyDescent="0.25">
      <c r="A4671" s="51" t="s">
        <v>30</v>
      </c>
      <c r="B4671" s="148">
        <v>44087</v>
      </c>
      <c r="C4671" s="4">
        <v>0</v>
      </c>
      <c r="D4671" s="29">
        <f t="shared" si="397"/>
        <v>68</v>
      </c>
      <c r="F4671" s="138">
        <f t="shared" si="398"/>
        <v>2</v>
      </c>
    </row>
    <row r="4672" spans="1:6" x14ac:dyDescent="0.25">
      <c r="A4672" s="51" t="s">
        <v>26</v>
      </c>
      <c r="B4672" s="148">
        <v>44087</v>
      </c>
      <c r="C4672" s="4">
        <v>286</v>
      </c>
      <c r="D4672" s="29">
        <f>C4672+D4648</f>
        <v>4812</v>
      </c>
      <c r="E4672" s="4">
        <f>2+1+1</f>
        <v>4</v>
      </c>
      <c r="F4672" s="138">
        <f t="shared" si="398"/>
        <v>50</v>
      </c>
    </row>
    <row r="4673" spans="1:6" x14ac:dyDescent="0.25">
      <c r="A4673" s="51" t="s">
        <v>25</v>
      </c>
      <c r="B4673" s="148">
        <v>44087</v>
      </c>
      <c r="C4673" s="4">
        <v>130</v>
      </c>
      <c r="D4673" s="29">
        <f>C4673+D4649</f>
        <v>8719</v>
      </c>
      <c r="E4673" s="4">
        <f>2</f>
        <v>2</v>
      </c>
      <c r="F4673" s="138">
        <f t="shared" si="398"/>
        <v>153</v>
      </c>
    </row>
    <row r="4674" spans="1:6" x14ac:dyDescent="0.25">
      <c r="A4674" s="51" t="s">
        <v>41</v>
      </c>
      <c r="B4674" s="148">
        <v>44087</v>
      </c>
      <c r="C4674" s="4">
        <v>340</v>
      </c>
      <c r="D4674" s="29">
        <f>C4674+D4650</f>
        <v>6765</v>
      </c>
      <c r="E4674" s="4">
        <f>1+1</f>
        <v>2</v>
      </c>
      <c r="F4674" s="138">
        <f>E4674+F4650</f>
        <v>89</v>
      </c>
    </row>
    <row r="4675" spans="1:6" x14ac:dyDescent="0.25">
      <c r="A4675" s="51" t="s">
        <v>42</v>
      </c>
      <c r="B4675" s="148">
        <v>44087</v>
      </c>
      <c r="C4675" s="4">
        <v>-5</v>
      </c>
      <c r="D4675" s="29">
        <f t="shared" ref="D4675:D4681" si="399">C4675+D4651</f>
        <v>417</v>
      </c>
      <c r="F4675" s="138">
        <f>E4675+F4651</f>
        <v>12</v>
      </c>
    </row>
    <row r="4676" spans="1:6" x14ac:dyDescent="0.25">
      <c r="A4676" s="51" t="s">
        <v>43</v>
      </c>
      <c r="B4676" s="148">
        <v>44087</v>
      </c>
      <c r="C4676" s="4">
        <v>1</v>
      </c>
      <c r="D4676" s="29">
        <f t="shared" si="399"/>
        <v>383</v>
      </c>
      <c r="F4676" s="138">
        <f t="shared" si="398"/>
        <v>0</v>
      </c>
    </row>
    <row r="4677" spans="1:6" x14ac:dyDescent="0.25">
      <c r="A4677" s="51" t="s">
        <v>44</v>
      </c>
      <c r="B4677" s="148">
        <v>44087</v>
      </c>
      <c r="C4677" s="4">
        <v>193</v>
      </c>
      <c r="D4677" s="29">
        <f t="shared" si="399"/>
        <v>3069</v>
      </c>
      <c r="F4677" s="138">
        <f>E4677+F4653</f>
        <v>21</v>
      </c>
    </row>
    <row r="4678" spans="1:6" x14ac:dyDescent="0.25">
      <c r="A4678" s="51" t="s">
        <v>29</v>
      </c>
      <c r="B4678" s="148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8">
        <f>E4678+F4654</f>
        <v>196</v>
      </c>
    </row>
    <row r="4679" spans="1:6" x14ac:dyDescent="0.25">
      <c r="A4679" s="51" t="s">
        <v>45</v>
      </c>
      <c r="B4679" s="148">
        <v>44087</v>
      </c>
      <c r="C4679" s="4">
        <v>79</v>
      </c>
      <c r="D4679" s="29">
        <f t="shared" si="399"/>
        <v>1832</v>
      </c>
      <c r="E4679" s="4">
        <f>1</f>
        <v>1</v>
      </c>
      <c r="F4679" s="138">
        <f t="shared" si="398"/>
        <v>26</v>
      </c>
    </row>
    <row r="4680" spans="1:6" x14ac:dyDescent="0.25">
      <c r="A4680" s="51" t="s">
        <v>46</v>
      </c>
      <c r="B4680" s="148">
        <v>44087</v>
      </c>
      <c r="C4680" s="4">
        <v>22</v>
      </c>
      <c r="D4680" s="29">
        <f t="shared" si="399"/>
        <v>2705</v>
      </c>
      <c r="E4680" s="4">
        <f>1</f>
        <v>1</v>
      </c>
      <c r="F4680" s="138">
        <f>E4680+F4656</f>
        <v>45</v>
      </c>
    </row>
    <row r="4681" spans="1:6" ht="15.75" thickBot="1" x14ac:dyDescent="0.3">
      <c r="A4681" s="52" t="s">
        <v>47</v>
      </c>
      <c r="B4681" s="148">
        <v>44087</v>
      </c>
      <c r="C4681" s="4">
        <v>583</v>
      </c>
      <c r="D4681" s="141">
        <f t="shared" si="399"/>
        <v>6628</v>
      </c>
      <c r="F4681" s="139">
        <f>E4681+F4657</f>
        <v>19</v>
      </c>
    </row>
    <row r="4682" spans="1:6" x14ac:dyDescent="0.25">
      <c r="A4682" s="65" t="s">
        <v>22</v>
      </c>
      <c r="B4682" s="148">
        <v>44088</v>
      </c>
      <c r="C4682" s="4">
        <v>4863</v>
      </c>
      <c r="D4682" s="140">
        <f>C4682+D4658</f>
        <v>336652</v>
      </c>
      <c r="E4682" s="4">
        <f>7+4+96+52</f>
        <v>159</v>
      </c>
      <c r="F4682" s="137">
        <f>E4682+F4658</f>
        <v>7008</v>
      </c>
    </row>
    <row r="4683" spans="1:6" x14ac:dyDescent="0.25">
      <c r="A4683" s="51" t="s">
        <v>20</v>
      </c>
      <c r="B4683" s="148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8">
        <f>E4683+F4659</f>
        <v>2714</v>
      </c>
    </row>
    <row r="4684" spans="1:6" x14ac:dyDescent="0.25">
      <c r="A4684" s="51" t="s">
        <v>35</v>
      </c>
      <c r="B4684" s="148">
        <v>44088</v>
      </c>
      <c r="C4684" s="4">
        <v>5</v>
      </c>
      <c r="D4684" s="29">
        <f t="shared" si="400"/>
        <v>129</v>
      </c>
      <c r="F4684" s="138">
        <f>E4684+F4660</f>
        <v>0</v>
      </c>
    </row>
    <row r="4685" spans="1:6" x14ac:dyDescent="0.25">
      <c r="A4685" s="51" t="s">
        <v>21</v>
      </c>
      <c r="B4685" s="148">
        <v>44088</v>
      </c>
      <c r="C4685" s="4">
        <v>41</v>
      </c>
      <c r="D4685" s="29">
        <f t="shared" si="400"/>
        <v>6792</v>
      </c>
      <c r="E4685" s="4">
        <f>1+2</f>
        <v>3</v>
      </c>
      <c r="F4685" s="138">
        <f t="shared" ref="F4685:F4703" si="401">E4685+F4661</f>
        <v>241</v>
      </c>
    </row>
    <row r="4686" spans="1:6" x14ac:dyDescent="0.25">
      <c r="A4686" s="51" t="s">
        <v>36</v>
      </c>
      <c r="B4686" s="148">
        <v>44088</v>
      </c>
      <c r="C4686" s="4">
        <v>39</v>
      </c>
      <c r="D4686" s="29">
        <f t="shared" si="400"/>
        <v>1757</v>
      </c>
      <c r="E4686" s="4">
        <f>4+2</f>
        <v>6</v>
      </c>
      <c r="F4686" s="138">
        <f t="shared" si="401"/>
        <v>20</v>
      </c>
    </row>
    <row r="4687" spans="1:6" x14ac:dyDescent="0.25">
      <c r="A4687" s="51" t="s">
        <v>27</v>
      </c>
      <c r="B4687" s="148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8">
        <f t="shared" si="401"/>
        <v>204</v>
      </c>
    </row>
    <row r="4688" spans="1:6" x14ac:dyDescent="0.25">
      <c r="A4688" s="51" t="s">
        <v>37</v>
      </c>
      <c r="B4688" s="148">
        <v>44088</v>
      </c>
      <c r="C4688" s="4">
        <v>58</v>
      </c>
      <c r="D4688" s="29">
        <f t="shared" si="400"/>
        <v>718</v>
      </c>
      <c r="F4688" s="138">
        <f t="shared" si="401"/>
        <v>6</v>
      </c>
    </row>
    <row r="4689" spans="1:6" x14ac:dyDescent="0.25">
      <c r="A4689" s="51" t="s">
        <v>38</v>
      </c>
      <c r="B4689" s="148">
        <v>44088</v>
      </c>
      <c r="C4689" s="4">
        <v>72</v>
      </c>
      <c r="D4689" s="29">
        <f t="shared" si="400"/>
        <v>5310</v>
      </c>
      <c r="F4689" s="138">
        <f t="shared" si="401"/>
        <v>89</v>
      </c>
    </row>
    <row r="4690" spans="1:6" x14ac:dyDescent="0.25">
      <c r="A4690" s="51" t="s">
        <v>48</v>
      </c>
      <c r="B4690" s="148">
        <v>44088</v>
      </c>
      <c r="C4690" s="4">
        <v>1</v>
      </c>
      <c r="D4690" s="29">
        <f t="shared" si="400"/>
        <v>95</v>
      </c>
      <c r="F4690" s="138">
        <f>E4690+F4666</f>
        <v>1</v>
      </c>
    </row>
    <row r="4691" spans="1:6" x14ac:dyDescent="0.25">
      <c r="A4691" s="51" t="s">
        <v>39</v>
      </c>
      <c r="B4691" s="148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8">
        <f t="shared" si="401"/>
        <v>266</v>
      </c>
    </row>
    <row r="4692" spans="1:6" x14ac:dyDescent="0.25">
      <c r="A4692" s="51" t="s">
        <v>40</v>
      </c>
      <c r="B4692" s="148">
        <v>44088</v>
      </c>
      <c r="C4692" s="4">
        <v>45</v>
      </c>
      <c r="D4692" s="29">
        <f t="shared" si="400"/>
        <v>442</v>
      </c>
      <c r="F4692" s="138">
        <f t="shared" si="401"/>
        <v>4</v>
      </c>
    </row>
    <row r="4693" spans="1:6" x14ac:dyDescent="0.25">
      <c r="A4693" s="51" t="s">
        <v>28</v>
      </c>
      <c r="B4693" s="148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8">
        <f t="shared" si="401"/>
        <v>82</v>
      </c>
    </row>
    <row r="4694" spans="1:6" x14ac:dyDescent="0.25">
      <c r="A4694" s="51" t="s">
        <v>24</v>
      </c>
      <c r="B4694" s="148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8">
        <f t="shared" si="401"/>
        <v>153</v>
      </c>
    </row>
    <row r="4695" spans="1:6" x14ac:dyDescent="0.25">
      <c r="A4695" s="51" t="s">
        <v>30</v>
      </c>
      <c r="B4695" s="148">
        <v>44088</v>
      </c>
      <c r="C4695" s="4">
        <v>0</v>
      </c>
      <c r="D4695" s="29">
        <f t="shared" si="400"/>
        <v>68</v>
      </c>
      <c r="F4695" s="138">
        <f t="shared" si="401"/>
        <v>2</v>
      </c>
    </row>
    <row r="4696" spans="1:6" x14ac:dyDescent="0.25">
      <c r="A4696" s="51" t="s">
        <v>26</v>
      </c>
      <c r="B4696" s="148">
        <v>44088</v>
      </c>
      <c r="C4696" s="4">
        <v>227</v>
      </c>
      <c r="D4696" s="29">
        <f>C4696+D4672</f>
        <v>5039</v>
      </c>
      <c r="E4696" s="4">
        <f>1+1</f>
        <v>2</v>
      </c>
      <c r="F4696" s="138">
        <f t="shared" si="401"/>
        <v>52</v>
      </c>
    </row>
    <row r="4697" spans="1:6" x14ac:dyDescent="0.25">
      <c r="A4697" s="51" t="s">
        <v>25</v>
      </c>
      <c r="B4697" s="148">
        <v>44088</v>
      </c>
      <c r="C4697" s="4">
        <v>135</v>
      </c>
      <c r="D4697" s="29">
        <f>C4697+D4673</f>
        <v>8854</v>
      </c>
      <c r="E4697" s="4">
        <f>4+4</f>
        <v>8</v>
      </c>
      <c r="F4697" s="138">
        <f t="shared" si="401"/>
        <v>161</v>
      </c>
    </row>
    <row r="4698" spans="1:6" x14ac:dyDescent="0.25">
      <c r="A4698" s="51" t="s">
        <v>41</v>
      </c>
      <c r="B4698" s="148">
        <v>44088</v>
      </c>
      <c r="C4698" s="4">
        <v>229</v>
      </c>
      <c r="D4698" s="29">
        <f>C4698+D4674</f>
        <v>6994</v>
      </c>
      <c r="E4698" s="4">
        <f>4+1</f>
        <v>5</v>
      </c>
      <c r="F4698" s="138">
        <f>E4698+F4674</f>
        <v>94</v>
      </c>
    </row>
    <row r="4699" spans="1:6" x14ac:dyDescent="0.25">
      <c r="A4699" s="51" t="s">
        <v>42</v>
      </c>
      <c r="B4699" s="148">
        <v>44088</v>
      </c>
      <c r="C4699" s="4">
        <v>0</v>
      </c>
      <c r="D4699" s="29">
        <f t="shared" ref="D4699:D4705" si="402">C4699+D4675</f>
        <v>417</v>
      </c>
      <c r="F4699" s="138">
        <f>E4699+F4675</f>
        <v>12</v>
      </c>
    </row>
    <row r="4700" spans="1:6" x14ac:dyDescent="0.25">
      <c r="A4700" s="51" t="s">
        <v>43</v>
      </c>
      <c r="B4700" s="148">
        <v>44088</v>
      </c>
      <c r="C4700" s="4">
        <v>49</v>
      </c>
      <c r="D4700" s="29">
        <f t="shared" si="402"/>
        <v>432</v>
      </c>
      <c r="F4700" s="138">
        <f t="shared" si="401"/>
        <v>0</v>
      </c>
    </row>
    <row r="4701" spans="1:6" x14ac:dyDescent="0.25">
      <c r="A4701" s="51" t="s">
        <v>44</v>
      </c>
      <c r="B4701" s="148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8">
        <f>E4701+F4677</f>
        <v>36</v>
      </c>
    </row>
    <row r="4702" spans="1:6" x14ac:dyDescent="0.25">
      <c r="A4702" s="51" t="s">
        <v>29</v>
      </c>
      <c r="B4702" s="148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8">
        <f>E4702+F4678</f>
        <v>212</v>
      </c>
    </row>
    <row r="4703" spans="1:6" x14ac:dyDescent="0.25">
      <c r="A4703" s="51" t="s">
        <v>45</v>
      </c>
      <c r="B4703" s="148">
        <v>44088</v>
      </c>
      <c r="C4703" s="4">
        <v>81</v>
      </c>
      <c r="D4703" s="29">
        <f t="shared" si="402"/>
        <v>1913</v>
      </c>
      <c r="E4703" s="4">
        <f>2</f>
        <v>2</v>
      </c>
      <c r="F4703" s="138">
        <f t="shared" si="401"/>
        <v>28</v>
      </c>
    </row>
    <row r="4704" spans="1:6" x14ac:dyDescent="0.25">
      <c r="A4704" s="51" t="s">
        <v>46</v>
      </c>
      <c r="B4704" s="148">
        <v>44088</v>
      </c>
      <c r="C4704" s="4">
        <v>72</v>
      </c>
      <c r="D4704" s="29">
        <f t="shared" si="402"/>
        <v>2777</v>
      </c>
      <c r="E4704" s="4">
        <f>1+1</f>
        <v>2</v>
      </c>
      <c r="F4704" s="138">
        <f>E4704+F4680</f>
        <v>47</v>
      </c>
    </row>
    <row r="4705" spans="1:6" ht="15.75" thickBot="1" x14ac:dyDescent="0.3">
      <c r="A4705" s="104" t="s">
        <v>47</v>
      </c>
      <c r="B4705" s="152">
        <v>44088</v>
      </c>
      <c r="C4705" s="47">
        <v>621</v>
      </c>
      <c r="D4705" s="92">
        <f t="shared" si="402"/>
        <v>7249</v>
      </c>
      <c r="E4705" s="47"/>
      <c r="F4705" s="153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40">
        <f>C4706+D4682</f>
        <v>342653</v>
      </c>
      <c r="E4706" s="50">
        <f>16+11+32+41</f>
        <v>100</v>
      </c>
      <c r="F4706" s="137">
        <f>E4706+F4682</f>
        <v>7108</v>
      </c>
    </row>
    <row r="4707" spans="1:6" x14ac:dyDescent="0.25">
      <c r="A4707" s="154" t="s">
        <v>20</v>
      </c>
      <c r="B4707" s="148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8">
        <f>E4707+F4683</f>
        <v>2740</v>
      </c>
    </row>
    <row r="4708" spans="1:6" x14ac:dyDescent="0.25">
      <c r="A4708" s="154" t="s">
        <v>35</v>
      </c>
      <c r="B4708" s="148">
        <v>44089</v>
      </c>
      <c r="C4708" s="4">
        <v>4</v>
      </c>
      <c r="D4708" s="29">
        <f t="shared" si="403"/>
        <v>133</v>
      </c>
      <c r="F4708" s="138">
        <f>E4708+F4684</f>
        <v>0</v>
      </c>
    </row>
    <row r="4709" spans="1:6" x14ac:dyDescent="0.25">
      <c r="A4709" s="154" t="s">
        <v>21</v>
      </c>
      <c r="B4709" s="148">
        <v>44089</v>
      </c>
      <c r="C4709" s="4">
        <v>87</v>
      </c>
      <c r="D4709" s="29">
        <f t="shared" si="403"/>
        <v>6879</v>
      </c>
      <c r="E4709" s="4">
        <f>1+1</f>
        <v>2</v>
      </c>
      <c r="F4709" s="138">
        <f t="shared" ref="F4709:F4727" si="404">E4709+F4685</f>
        <v>243</v>
      </c>
    </row>
    <row r="4710" spans="1:6" x14ac:dyDescent="0.25">
      <c r="A4710" s="154" t="s">
        <v>36</v>
      </c>
      <c r="B4710" s="148">
        <v>44089</v>
      </c>
      <c r="C4710" s="4">
        <v>98</v>
      </c>
      <c r="D4710" s="29">
        <f t="shared" si="403"/>
        <v>1855</v>
      </c>
      <c r="E4710" s="4">
        <f>1+2</f>
        <v>3</v>
      </c>
      <c r="F4710" s="138">
        <f t="shared" si="404"/>
        <v>23</v>
      </c>
    </row>
    <row r="4711" spans="1:6" x14ac:dyDescent="0.25">
      <c r="A4711" s="154" t="s">
        <v>27</v>
      </c>
      <c r="B4711" s="148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8">
        <f t="shared" si="404"/>
        <v>212</v>
      </c>
    </row>
    <row r="4712" spans="1:6" x14ac:dyDescent="0.25">
      <c r="A4712" s="154" t="s">
        <v>37</v>
      </c>
      <c r="B4712" s="148">
        <v>44089</v>
      </c>
      <c r="C4712" s="4">
        <v>60</v>
      </c>
      <c r="D4712" s="29">
        <f t="shared" si="403"/>
        <v>778</v>
      </c>
      <c r="F4712" s="138">
        <f t="shared" si="404"/>
        <v>6</v>
      </c>
    </row>
    <row r="4713" spans="1:6" x14ac:dyDescent="0.25">
      <c r="A4713" s="154" t="s">
        <v>38</v>
      </c>
      <c r="B4713" s="148">
        <v>44089</v>
      </c>
      <c r="C4713" s="4">
        <v>189</v>
      </c>
      <c r="D4713" s="29">
        <f t="shared" si="403"/>
        <v>5499</v>
      </c>
      <c r="E4713" s="4">
        <f>3+2</f>
        <v>5</v>
      </c>
      <c r="F4713" s="138">
        <f t="shared" si="404"/>
        <v>94</v>
      </c>
    </row>
    <row r="4714" spans="1:6" x14ac:dyDescent="0.25">
      <c r="A4714" s="154" t="s">
        <v>48</v>
      </c>
      <c r="B4714" s="148">
        <v>44089</v>
      </c>
      <c r="C4714" s="4">
        <v>3</v>
      </c>
      <c r="D4714" s="29">
        <f t="shared" si="403"/>
        <v>98</v>
      </c>
      <c r="F4714" s="138">
        <f>E4714+F4690</f>
        <v>1</v>
      </c>
    </row>
    <row r="4715" spans="1:6" x14ac:dyDescent="0.25">
      <c r="A4715" s="154" t="s">
        <v>39</v>
      </c>
      <c r="B4715" s="148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8">
        <f t="shared" si="404"/>
        <v>276</v>
      </c>
    </row>
    <row r="4716" spans="1:6" x14ac:dyDescent="0.25">
      <c r="A4716" s="154" t="s">
        <v>40</v>
      </c>
      <c r="B4716" s="148">
        <v>44089</v>
      </c>
      <c r="C4716" s="4">
        <v>24</v>
      </c>
      <c r="D4716" s="29">
        <f t="shared" si="403"/>
        <v>466</v>
      </c>
      <c r="F4716" s="138">
        <f t="shared" si="404"/>
        <v>4</v>
      </c>
    </row>
    <row r="4717" spans="1:6" x14ac:dyDescent="0.25">
      <c r="A4717" s="154" t="s">
        <v>28</v>
      </c>
      <c r="B4717" s="148">
        <v>44089</v>
      </c>
      <c r="C4717" s="4">
        <v>124</v>
      </c>
      <c r="D4717" s="29">
        <f t="shared" si="403"/>
        <v>3006</v>
      </c>
      <c r="E4717" s="4">
        <f>2+3</f>
        <v>5</v>
      </c>
      <c r="F4717" s="138">
        <f t="shared" si="404"/>
        <v>87</v>
      </c>
    </row>
    <row r="4718" spans="1:6" x14ac:dyDescent="0.25">
      <c r="A4718" s="154" t="s">
        <v>24</v>
      </c>
      <c r="B4718" s="148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8">
        <f t="shared" si="404"/>
        <v>156</v>
      </c>
    </row>
    <row r="4719" spans="1:6" x14ac:dyDescent="0.25">
      <c r="A4719" s="154" t="s">
        <v>30</v>
      </c>
      <c r="B4719" s="148">
        <v>44089</v>
      </c>
      <c r="C4719" s="4">
        <v>-8</v>
      </c>
      <c r="D4719" s="29">
        <f t="shared" si="403"/>
        <v>60</v>
      </c>
      <c r="F4719" s="138">
        <f t="shared" si="404"/>
        <v>2</v>
      </c>
    </row>
    <row r="4720" spans="1:6" x14ac:dyDescent="0.25">
      <c r="A4720" s="154" t="s">
        <v>26</v>
      </c>
      <c r="B4720" s="148">
        <v>44089</v>
      </c>
      <c r="C4720" s="4">
        <v>120</v>
      </c>
      <c r="D4720" s="29">
        <f>C4720+D4696</f>
        <v>5159</v>
      </c>
      <c r="E4720" s="4">
        <f>1</f>
        <v>1</v>
      </c>
      <c r="F4720" s="138">
        <f t="shared" si="404"/>
        <v>53</v>
      </c>
    </row>
    <row r="4721" spans="1:6" x14ac:dyDescent="0.25">
      <c r="A4721" s="154" t="s">
        <v>25</v>
      </c>
      <c r="B4721" s="148">
        <v>44089</v>
      </c>
      <c r="C4721" s="4">
        <v>375</v>
      </c>
      <c r="D4721" s="29">
        <f>C4721+D4697</f>
        <v>9229</v>
      </c>
      <c r="E4721" s="4">
        <f>3+4</f>
        <v>7</v>
      </c>
      <c r="F4721" s="138">
        <f t="shared" si="404"/>
        <v>168</v>
      </c>
    </row>
    <row r="4722" spans="1:6" x14ac:dyDescent="0.25">
      <c r="A4722" s="154" t="s">
        <v>41</v>
      </c>
      <c r="B4722" s="148">
        <v>44089</v>
      </c>
      <c r="C4722" s="4">
        <v>309</v>
      </c>
      <c r="D4722" s="29">
        <f>C4722+D4698</f>
        <v>7303</v>
      </c>
      <c r="E4722" s="4">
        <f>1+1+3</f>
        <v>5</v>
      </c>
      <c r="F4722" s="138">
        <f>E4722+F4698</f>
        <v>99</v>
      </c>
    </row>
    <row r="4723" spans="1:6" x14ac:dyDescent="0.25">
      <c r="A4723" s="154" t="s">
        <v>42</v>
      </c>
      <c r="B4723" s="148">
        <v>44089</v>
      </c>
      <c r="C4723" s="4">
        <v>11</v>
      </c>
      <c r="D4723" s="29">
        <f t="shared" ref="D4723:D4729" si="405">C4723+D4699</f>
        <v>428</v>
      </c>
      <c r="F4723" s="138">
        <f>E4723+F4699</f>
        <v>12</v>
      </c>
    </row>
    <row r="4724" spans="1:6" x14ac:dyDescent="0.25">
      <c r="A4724" s="154" t="s">
        <v>43</v>
      </c>
      <c r="B4724" s="148">
        <v>44089</v>
      </c>
      <c r="C4724" s="4">
        <v>51</v>
      </c>
      <c r="D4724" s="29">
        <f t="shared" si="405"/>
        <v>483</v>
      </c>
      <c r="F4724" s="138">
        <f t="shared" si="404"/>
        <v>0</v>
      </c>
    </row>
    <row r="4725" spans="1:6" x14ac:dyDescent="0.25">
      <c r="A4725" s="154" t="s">
        <v>44</v>
      </c>
      <c r="B4725" s="148">
        <v>44089</v>
      </c>
      <c r="C4725" s="4">
        <v>84</v>
      </c>
      <c r="D4725" s="29">
        <f t="shared" si="405"/>
        <v>3192</v>
      </c>
      <c r="F4725" s="138">
        <f>E4725+F4701</f>
        <v>36</v>
      </c>
    </row>
    <row r="4726" spans="1:6" x14ac:dyDescent="0.25">
      <c r="A4726" s="154" t="s">
        <v>29</v>
      </c>
      <c r="B4726" s="148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8">
        <f>E4726+F4702</f>
        <v>219</v>
      </c>
    </row>
    <row r="4727" spans="1:6" x14ac:dyDescent="0.25">
      <c r="A4727" s="154" t="s">
        <v>45</v>
      </c>
      <c r="B4727" s="148">
        <v>44089</v>
      </c>
      <c r="C4727" s="4">
        <v>69</v>
      </c>
      <c r="D4727" s="29">
        <f t="shared" si="405"/>
        <v>1982</v>
      </c>
      <c r="F4727" s="138">
        <f t="shared" si="404"/>
        <v>28</v>
      </c>
    </row>
    <row r="4728" spans="1:6" x14ac:dyDescent="0.25">
      <c r="A4728" s="154" t="s">
        <v>46</v>
      </c>
      <c r="B4728" s="148">
        <v>44089</v>
      </c>
      <c r="C4728" s="4">
        <v>78</v>
      </c>
      <c r="D4728" s="29">
        <f t="shared" si="405"/>
        <v>2855</v>
      </c>
      <c r="F4728" s="138">
        <f>E4728+F4704</f>
        <v>47</v>
      </c>
    </row>
    <row r="4729" spans="1:6" ht="15.75" thickBot="1" x14ac:dyDescent="0.3">
      <c r="A4729" s="157" t="s">
        <v>47</v>
      </c>
      <c r="B4729" s="152">
        <v>44089</v>
      </c>
      <c r="C4729" s="47">
        <v>468</v>
      </c>
      <c r="D4729" s="92">
        <f t="shared" si="405"/>
        <v>7717</v>
      </c>
      <c r="E4729" s="47">
        <f>2+1</f>
        <v>3</v>
      </c>
      <c r="F4729" s="153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40">
        <f>C4730+D4706</f>
        <v>348731</v>
      </c>
      <c r="E4730" s="50">
        <f>26+23+68+48</f>
        <v>165</v>
      </c>
      <c r="F4730" s="137">
        <f>E4730+F4706</f>
        <v>7273</v>
      </c>
    </row>
    <row r="4731" spans="1:6" x14ac:dyDescent="0.25">
      <c r="A4731" s="154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8">
        <f>E4731+F4707</f>
        <v>2780</v>
      </c>
    </row>
    <row r="4732" spans="1:6" x14ac:dyDescent="0.25">
      <c r="A4732" s="154" t="s">
        <v>35</v>
      </c>
      <c r="B4732" s="26">
        <v>44090</v>
      </c>
      <c r="C4732" s="4">
        <v>21</v>
      </c>
      <c r="D4732" s="29">
        <f t="shared" si="406"/>
        <v>154</v>
      </c>
      <c r="F4732" s="138">
        <f>E4732+F4708</f>
        <v>0</v>
      </c>
    </row>
    <row r="4733" spans="1:6" x14ac:dyDescent="0.25">
      <c r="A4733" s="154" t="s">
        <v>21</v>
      </c>
      <c r="B4733" s="26">
        <v>44090</v>
      </c>
      <c r="C4733" s="4">
        <v>122</v>
      </c>
      <c r="D4733" s="29">
        <f t="shared" si="406"/>
        <v>7001</v>
      </c>
      <c r="F4733" s="138">
        <f t="shared" ref="F4733:F4751" si="407">E4733+F4709</f>
        <v>243</v>
      </c>
    </row>
    <row r="4734" spans="1:6" x14ac:dyDescent="0.25">
      <c r="A4734" s="154" t="s">
        <v>36</v>
      </c>
      <c r="B4734" s="26">
        <v>44090</v>
      </c>
      <c r="C4734" s="4">
        <v>94</v>
      </c>
      <c r="D4734" s="29">
        <f t="shared" si="406"/>
        <v>1949</v>
      </c>
      <c r="F4734" s="138">
        <f t="shared" si="407"/>
        <v>23</v>
      </c>
    </row>
    <row r="4735" spans="1:6" x14ac:dyDescent="0.25">
      <c r="A4735" s="154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8">
        <f t="shared" si="407"/>
        <v>221</v>
      </c>
    </row>
    <row r="4736" spans="1:6" x14ac:dyDescent="0.25">
      <c r="A4736" s="154" t="s">
        <v>37</v>
      </c>
      <c r="B4736" s="26">
        <v>44090</v>
      </c>
      <c r="C4736" s="4">
        <v>17</v>
      </c>
      <c r="D4736" s="29">
        <f t="shared" si="406"/>
        <v>795</v>
      </c>
      <c r="F4736" s="138">
        <f>E4736+F4712</f>
        <v>6</v>
      </c>
    </row>
    <row r="4737" spans="1:6" x14ac:dyDescent="0.25">
      <c r="A4737" s="154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8">
        <f>E4737+F4713</f>
        <v>97</v>
      </c>
    </row>
    <row r="4738" spans="1:6" x14ac:dyDescent="0.25">
      <c r="A4738" s="154" t="s">
        <v>48</v>
      </c>
      <c r="B4738" s="26">
        <v>44090</v>
      </c>
      <c r="C4738" s="4">
        <v>-2</v>
      </c>
      <c r="D4738" s="29">
        <f t="shared" si="406"/>
        <v>96</v>
      </c>
      <c r="F4738" s="138">
        <f>E4738+F4714</f>
        <v>1</v>
      </c>
    </row>
    <row r="4739" spans="1:6" x14ac:dyDescent="0.25">
      <c r="A4739" s="154" t="s">
        <v>39</v>
      </c>
      <c r="B4739" s="26">
        <v>44090</v>
      </c>
      <c r="C4739" s="4">
        <v>305</v>
      </c>
      <c r="D4739" s="29">
        <f t="shared" si="406"/>
        <v>13035</v>
      </c>
      <c r="F4739" s="138">
        <f t="shared" si="407"/>
        <v>276</v>
      </c>
    </row>
    <row r="4740" spans="1:6" x14ac:dyDescent="0.25">
      <c r="A4740" s="154" t="s">
        <v>40</v>
      </c>
      <c r="B4740" s="26">
        <v>44090</v>
      </c>
      <c r="C4740" s="4">
        <v>39</v>
      </c>
      <c r="D4740" s="29">
        <f t="shared" si="406"/>
        <v>505</v>
      </c>
      <c r="F4740" s="138">
        <f t="shared" si="407"/>
        <v>4</v>
      </c>
    </row>
    <row r="4741" spans="1:6" x14ac:dyDescent="0.25">
      <c r="A4741" s="154" t="s">
        <v>28</v>
      </c>
      <c r="B4741" s="26">
        <v>44090</v>
      </c>
      <c r="C4741" s="4">
        <v>125</v>
      </c>
      <c r="D4741" s="29">
        <f t="shared" si="406"/>
        <v>3131</v>
      </c>
      <c r="F4741" s="138">
        <f t="shared" si="407"/>
        <v>87</v>
      </c>
    </row>
    <row r="4742" spans="1:6" x14ac:dyDescent="0.25">
      <c r="A4742" s="154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8">
        <f t="shared" si="407"/>
        <v>159</v>
      </c>
    </row>
    <row r="4743" spans="1:6" x14ac:dyDescent="0.25">
      <c r="A4743" s="154" t="s">
        <v>30</v>
      </c>
      <c r="B4743" s="26">
        <v>44090</v>
      </c>
      <c r="C4743" s="4">
        <v>3</v>
      </c>
      <c r="D4743" s="29">
        <f t="shared" si="406"/>
        <v>63</v>
      </c>
      <c r="F4743" s="138">
        <f t="shared" si="407"/>
        <v>2</v>
      </c>
    </row>
    <row r="4744" spans="1:6" x14ac:dyDescent="0.25">
      <c r="A4744" s="154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8">
        <f t="shared" si="407"/>
        <v>54</v>
      </c>
    </row>
    <row r="4745" spans="1:6" x14ac:dyDescent="0.25">
      <c r="A4745" s="154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8">
        <f t="shared" si="407"/>
        <v>176</v>
      </c>
    </row>
    <row r="4746" spans="1:6" x14ac:dyDescent="0.25">
      <c r="A4746" s="154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8">
        <f>E4746+F4722</f>
        <v>101</v>
      </c>
    </row>
    <row r="4747" spans="1:6" x14ac:dyDescent="0.25">
      <c r="A4747" s="154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8">
        <f>E4747+F4723</f>
        <v>14</v>
      </c>
    </row>
    <row r="4748" spans="1:6" x14ac:dyDescent="0.25">
      <c r="A4748" s="154" t="s">
        <v>43</v>
      </c>
      <c r="B4748" s="26">
        <v>44090</v>
      </c>
      <c r="C4748" s="4">
        <v>25</v>
      </c>
      <c r="D4748" s="29">
        <f t="shared" si="408"/>
        <v>508</v>
      </c>
      <c r="F4748" s="138">
        <f t="shared" si="407"/>
        <v>0</v>
      </c>
    </row>
    <row r="4749" spans="1:6" x14ac:dyDescent="0.25">
      <c r="A4749" s="154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8">
        <f>E4749+F4725</f>
        <v>39</v>
      </c>
    </row>
    <row r="4750" spans="1:6" x14ac:dyDescent="0.25">
      <c r="A4750" s="154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8">
        <f>E4750+F4726</f>
        <v>236</v>
      </c>
    </row>
    <row r="4751" spans="1:6" x14ac:dyDescent="0.25">
      <c r="A4751" s="154" t="s">
        <v>45</v>
      </c>
      <c r="B4751" s="26">
        <v>44090</v>
      </c>
      <c r="C4751" s="4">
        <v>59</v>
      </c>
      <c r="D4751" s="29">
        <f t="shared" si="408"/>
        <v>2041</v>
      </c>
      <c r="F4751" s="138">
        <f t="shared" si="407"/>
        <v>28</v>
      </c>
    </row>
    <row r="4752" spans="1:6" x14ac:dyDescent="0.25">
      <c r="A4752" s="154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8">
        <f>E4752+F4728</f>
        <v>50</v>
      </c>
    </row>
    <row r="4753" spans="1:6" ht="15.75" thickBot="1" x14ac:dyDescent="0.3">
      <c r="A4753" s="155" t="s">
        <v>47</v>
      </c>
      <c r="B4753" s="53">
        <v>44090</v>
      </c>
      <c r="C4753" s="54">
        <v>458</v>
      </c>
      <c r="D4753" s="141">
        <f t="shared" si="408"/>
        <v>8175</v>
      </c>
      <c r="E4753" s="54">
        <f>8</f>
        <v>8</v>
      </c>
      <c r="F4753" s="139">
        <f>E4753+F4729</f>
        <v>30</v>
      </c>
    </row>
    <row r="4754" spans="1:6" x14ac:dyDescent="0.25">
      <c r="A4754" s="136"/>
      <c r="B4754" s="48"/>
      <c r="C4754" s="48"/>
      <c r="D4754" s="142"/>
      <c r="E4754" s="48"/>
    </row>
  </sheetData>
  <autoFilter ref="A1:E4633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FD6-2DD0-4A8E-844A-DE611A2D0613}">
  <dimension ref="A1:C25"/>
  <sheetViews>
    <sheetView workbookViewId="0">
      <selection activeCell="B2" sqref="B2:C25"/>
    </sheetView>
  </sheetViews>
  <sheetFormatPr baseColWidth="10" defaultRowHeight="15" x14ac:dyDescent="0.25"/>
  <cols>
    <col min="2" max="2" width="18" bestFit="1" customWidth="1"/>
    <col min="3" max="3" width="11.42578125" style="103"/>
  </cols>
  <sheetData>
    <row r="1" spans="1:3" x14ac:dyDescent="0.25">
      <c r="A1" t="s">
        <v>149</v>
      </c>
      <c r="B1" t="s">
        <v>150</v>
      </c>
    </row>
    <row r="2" spans="1:3" x14ac:dyDescent="0.25">
      <c r="B2" s="103" t="s">
        <v>161</v>
      </c>
      <c r="C2" s="103" t="s">
        <v>162</v>
      </c>
    </row>
    <row r="3" spans="1:3" x14ac:dyDescent="0.25">
      <c r="A3">
        <v>1</v>
      </c>
      <c r="B3" t="s">
        <v>151</v>
      </c>
      <c r="C3" s="103">
        <v>4884</v>
      </c>
    </row>
    <row r="4" spans="1:3" x14ac:dyDescent="0.25">
      <c r="A4">
        <v>2</v>
      </c>
      <c r="B4" t="s">
        <v>51</v>
      </c>
      <c r="C4" s="103">
        <v>939</v>
      </c>
    </row>
    <row r="5" spans="1:3" x14ac:dyDescent="0.25">
      <c r="A5">
        <v>3</v>
      </c>
      <c r="B5" t="s">
        <v>35</v>
      </c>
      <c r="C5" s="103">
        <v>5</v>
      </c>
    </row>
    <row r="6" spans="1:3" x14ac:dyDescent="0.25">
      <c r="A6">
        <v>4</v>
      </c>
      <c r="B6" t="s">
        <v>21</v>
      </c>
      <c r="C6" s="103">
        <v>45</v>
      </c>
    </row>
    <row r="7" spans="1:3" x14ac:dyDescent="0.25">
      <c r="A7">
        <v>5</v>
      </c>
      <c r="B7" t="s">
        <v>36</v>
      </c>
      <c r="C7" s="103">
        <v>38</v>
      </c>
    </row>
    <row r="8" spans="1:3" x14ac:dyDescent="0.25">
      <c r="A8">
        <v>6</v>
      </c>
      <c r="B8" t="s">
        <v>27</v>
      </c>
      <c r="C8" s="103">
        <v>535</v>
      </c>
    </row>
    <row r="9" spans="1:3" x14ac:dyDescent="0.25">
      <c r="A9">
        <v>7</v>
      </c>
      <c r="B9" t="s">
        <v>37</v>
      </c>
      <c r="C9" s="103">
        <v>59</v>
      </c>
    </row>
    <row r="10" spans="1:3" x14ac:dyDescent="0.25">
      <c r="A10">
        <v>8</v>
      </c>
      <c r="B10" t="s">
        <v>152</v>
      </c>
      <c r="C10" s="103">
        <v>81</v>
      </c>
    </row>
    <row r="11" spans="1:3" x14ac:dyDescent="0.25">
      <c r="A11">
        <v>9</v>
      </c>
      <c r="B11" t="s">
        <v>48</v>
      </c>
      <c r="C11" s="103">
        <v>1</v>
      </c>
    </row>
    <row r="12" spans="1:3" x14ac:dyDescent="0.25">
      <c r="A12">
        <v>10</v>
      </c>
      <c r="B12" t="s">
        <v>39</v>
      </c>
      <c r="C12" s="103">
        <v>278</v>
      </c>
    </row>
    <row r="13" spans="1:3" x14ac:dyDescent="0.25">
      <c r="A13">
        <v>11</v>
      </c>
      <c r="B13" t="s">
        <v>153</v>
      </c>
      <c r="C13" s="103">
        <v>46</v>
      </c>
    </row>
    <row r="14" spans="1:3" x14ac:dyDescent="0.25">
      <c r="A14">
        <v>12</v>
      </c>
      <c r="B14" t="s">
        <v>154</v>
      </c>
      <c r="C14" s="103">
        <v>74</v>
      </c>
    </row>
    <row r="15" spans="1:3" x14ac:dyDescent="0.25">
      <c r="A15">
        <v>13</v>
      </c>
      <c r="B15" t="s">
        <v>24</v>
      </c>
      <c r="C15" s="103">
        <v>658</v>
      </c>
    </row>
    <row r="16" spans="1:3" x14ac:dyDescent="0.25">
      <c r="A16">
        <v>14</v>
      </c>
      <c r="B16" t="s">
        <v>30</v>
      </c>
      <c r="C16" s="103">
        <v>3</v>
      </c>
    </row>
    <row r="17" spans="1:3" x14ac:dyDescent="0.25">
      <c r="A17">
        <v>15</v>
      </c>
      <c r="B17" t="s">
        <v>26</v>
      </c>
      <c r="C17" s="103">
        <v>227</v>
      </c>
    </row>
    <row r="18" spans="1:3" x14ac:dyDescent="0.25">
      <c r="A18">
        <v>16</v>
      </c>
      <c r="B18" t="s">
        <v>155</v>
      </c>
      <c r="C18" s="103">
        <v>136</v>
      </c>
    </row>
    <row r="19" spans="1:3" x14ac:dyDescent="0.25">
      <c r="A19">
        <v>17</v>
      </c>
      <c r="B19" t="s">
        <v>41</v>
      </c>
      <c r="C19" s="103">
        <v>229</v>
      </c>
    </row>
    <row r="20" spans="1:3" x14ac:dyDescent="0.25">
      <c r="A20">
        <v>18</v>
      </c>
      <c r="B20" t="s">
        <v>156</v>
      </c>
      <c r="C20" s="103">
        <v>49</v>
      </c>
    </row>
    <row r="21" spans="1:3" x14ac:dyDescent="0.25">
      <c r="A21">
        <v>19</v>
      </c>
      <c r="B21" t="s">
        <v>157</v>
      </c>
      <c r="C21" s="103">
        <v>40</v>
      </c>
    </row>
    <row r="22" spans="1:3" x14ac:dyDescent="0.25">
      <c r="A22">
        <v>20</v>
      </c>
      <c r="B22" t="s">
        <v>158</v>
      </c>
      <c r="C22" s="103">
        <v>849</v>
      </c>
    </row>
    <row r="23" spans="1:3" x14ac:dyDescent="0.25">
      <c r="A23">
        <v>21</v>
      </c>
      <c r="B23" t="s">
        <v>159</v>
      </c>
      <c r="C23" s="103">
        <v>81</v>
      </c>
    </row>
    <row r="24" spans="1:3" x14ac:dyDescent="0.25">
      <c r="A24">
        <v>22</v>
      </c>
      <c r="B24" t="s">
        <v>160</v>
      </c>
      <c r="C24" s="103">
        <v>72</v>
      </c>
    </row>
    <row r="25" spans="1:3" x14ac:dyDescent="0.25">
      <c r="A25">
        <v>23</v>
      </c>
      <c r="B25" t="s">
        <v>47</v>
      </c>
      <c r="C25" s="103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4">
        <v>61.1</v>
      </c>
      <c r="E171" s="132">
        <f t="shared" si="0"/>
        <v>3860.8837970540098</v>
      </c>
      <c r="F171" s="133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1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3"/>
    <col min="3" max="3" width="19" style="107" customWidth="1"/>
    <col min="4" max="5" width="11.42578125" style="108"/>
    <col min="6" max="6" width="18.140625" style="108" customWidth="1"/>
    <col min="7" max="7" width="12.85546875" style="108" customWidth="1"/>
    <col min="8" max="8" width="17.7109375" style="108" customWidth="1"/>
    <col min="9" max="12" width="11.42578125" style="123"/>
    <col min="13" max="13" width="22.28515625" style="123" customWidth="1"/>
    <col min="14" max="14" width="14.5703125" style="123" customWidth="1"/>
    <col min="15" max="15" width="13.7109375" style="123" customWidth="1"/>
    <col min="16" max="16" width="15" style="123" customWidth="1"/>
    <col min="17" max="17" width="13.7109375" style="123" customWidth="1"/>
    <col min="18" max="18" width="15.140625" style="107" customWidth="1"/>
    <col min="19" max="19" width="11.42578125" style="123"/>
    <col min="20" max="16384" width="11.42578125" style="107"/>
  </cols>
  <sheetData>
    <row r="1" spans="1:19" s="123" customFormat="1" ht="52.5" customHeight="1" thickBot="1" x14ac:dyDescent="0.3">
      <c r="C1" s="146" t="s">
        <v>146</v>
      </c>
      <c r="D1" s="146"/>
      <c r="E1" s="146"/>
      <c r="F1" s="146"/>
      <c r="G1" s="146"/>
      <c r="H1" s="146"/>
      <c r="M1" s="147" t="s">
        <v>147</v>
      </c>
      <c r="N1" s="147"/>
      <c r="O1" s="147"/>
      <c r="P1" s="147"/>
      <c r="Q1" s="147"/>
      <c r="R1" s="147"/>
      <c r="S1" s="147"/>
    </row>
    <row r="2" spans="1:19" ht="58.5" customHeight="1" x14ac:dyDescent="0.25">
      <c r="C2" s="111" t="s">
        <v>31</v>
      </c>
      <c r="D2" s="112">
        <v>44043</v>
      </c>
      <c r="E2" s="112">
        <v>44074</v>
      </c>
      <c r="F2" s="113" t="s">
        <v>145</v>
      </c>
      <c r="G2" s="114" t="s">
        <v>143</v>
      </c>
      <c r="H2" s="115" t="s">
        <v>144</v>
      </c>
      <c r="M2" s="111" t="s">
        <v>31</v>
      </c>
      <c r="N2" s="112">
        <v>44043</v>
      </c>
      <c r="O2" s="112">
        <v>44074</v>
      </c>
      <c r="P2" s="113" t="s">
        <v>145</v>
      </c>
      <c r="Q2" s="114" t="s">
        <v>143</v>
      </c>
      <c r="R2" s="115" t="s">
        <v>148</v>
      </c>
    </row>
    <row r="3" spans="1:19" s="108" customFormat="1" ht="27.95" customHeight="1" x14ac:dyDescent="0.25">
      <c r="A3" s="124"/>
      <c r="B3" s="124"/>
      <c r="C3" s="116" t="s">
        <v>22</v>
      </c>
      <c r="D3" s="109">
        <v>49911</v>
      </c>
      <c r="E3" s="109">
        <v>156669</v>
      </c>
      <c r="F3" s="110">
        <f>(E3-D3)/D3</f>
        <v>2.1389673619041893</v>
      </c>
      <c r="G3" s="109">
        <v>316506</v>
      </c>
      <c r="H3" s="117">
        <f>(G3-E3)/E3</f>
        <v>1.0202209754322809</v>
      </c>
      <c r="I3" s="124"/>
      <c r="J3" s="124"/>
      <c r="K3" s="124"/>
      <c r="L3" s="124"/>
      <c r="M3" s="116" t="s">
        <v>22</v>
      </c>
      <c r="N3" s="125">
        <v>114573</v>
      </c>
      <c r="O3" s="125">
        <v>258793</v>
      </c>
      <c r="P3" s="126">
        <f>(O3-N3)/N3</f>
        <v>1.2587607900639768</v>
      </c>
      <c r="Q3" s="125">
        <v>316506</v>
      </c>
      <c r="R3" s="127">
        <f>(Q3-O3)/O3</f>
        <v>0.22300835030313804</v>
      </c>
      <c r="S3" s="124"/>
    </row>
    <row r="4" spans="1:19" s="108" customFormat="1" ht="27.95" customHeight="1" x14ac:dyDescent="0.25">
      <c r="A4" s="124"/>
      <c r="B4" s="124"/>
      <c r="C4" s="118" t="s">
        <v>51</v>
      </c>
      <c r="D4" s="109">
        <v>36520</v>
      </c>
      <c r="E4" s="109">
        <v>71086</v>
      </c>
      <c r="F4" s="110">
        <f t="shared" ref="F4:F26" si="0">(E4-D4)/D4</f>
        <v>0.94649507119386633</v>
      </c>
      <c r="G4" s="109">
        <v>107857</v>
      </c>
      <c r="H4" s="117">
        <f t="shared" ref="H4:H26" si="1">(G4-E4)/E4</f>
        <v>0.51727485018147035</v>
      </c>
      <c r="I4" s="124"/>
      <c r="J4" s="124"/>
      <c r="K4" s="124"/>
      <c r="L4" s="124"/>
      <c r="M4" s="118" t="s">
        <v>51</v>
      </c>
      <c r="N4" s="125">
        <v>59708</v>
      </c>
      <c r="O4" s="125">
        <v>95604</v>
      </c>
      <c r="P4" s="126">
        <f t="shared" ref="P4:P26" si="2">(O4-N4)/N4</f>
        <v>0.6011924700207677</v>
      </c>
      <c r="Q4" s="125">
        <v>107857</v>
      </c>
      <c r="R4" s="127">
        <f t="shared" ref="R4:R26" si="3">(Q4-O4)/O4</f>
        <v>0.12816409355257102</v>
      </c>
      <c r="S4" s="124"/>
    </row>
    <row r="5" spans="1:19" s="108" customFormat="1" ht="27.95" customHeight="1" x14ac:dyDescent="0.25">
      <c r="A5" s="124"/>
      <c r="B5" s="124"/>
      <c r="C5" s="118" t="s">
        <v>35</v>
      </c>
      <c r="D5" s="109">
        <v>38</v>
      </c>
      <c r="E5" s="109">
        <v>62</v>
      </c>
      <c r="F5" s="110">
        <f t="shared" si="0"/>
        <v>0.63157894736842102</v>
      </c>
      <c r="G5" s="109">
        <v>111</v>
      </c>
      <c r="H5" s="117">
        <f t="shared" si="1"/>
        <v>0.79032258064516125</v>
      </c>
      <c r="I5" s="124"/>
      <c r="J5" s="124"/>
      <c r="K5" s="124"/>
      <c r="L5" s="124"/>
      <c r="M5" s="118" t="s">
        <v>35</v>
      </c>
      <c r="N5" s="125">
        <v>61</v>
      </c>
      <c r="O5" s="125">
        <v>66</v>
      </c>
      <c r="P5" s="126">
        <f t="shared" si="2"/>
        <v>8.1967213114754092E-2</v>
      </c>
      <c r="Q5" s="125">
        <v>111</v>
      </c>
      <c r="R5" s="127">
        <f t="shared" si="3"/>
        <v>0.68181818181818177</v>
      </c>
      <c r="S5" s="124"/>
    </row>
    <row r="6" spans="1:19" s="108" customFormat="1" ht="27.95" customHeight="1" x14ac:dyDescent="0.25">
      <c r="A6" s="124"/>
      <c r="B6" s="124"/>
      <c r="C6" s="118" t="s">
        <v>21</v>
      </c>
      <c r="D6" s="109">
        <v>2496</v>
      </c>
      <c r="E6" s="109">
        <v>4085</v>
      </c>
      <c r="F6" s="110">
        <f t="shared" si="0"/>
        <v>0.63661858974358976</v>
      </c>
      <c r="G6" s="109">
        <v>6418</v>
      </c>
      <c r="H6" s="117">
        <f t="shared" si="1"/>
        <v>0.57111383108935132</v>
      </c>
      <c r="I6" s="124"/>
      <c r="J6" s="124"/>
      <c r="K6" s="124"/>
      <c r="L6" s="124"/>
      <c r="M6" s="118" t="s">
        <v>21</v>
      </c>
      <c r="N6" s="125">
        <v>3579</v>
      </c>
      <c r="O6" s="125">
        <v>5417</v>
      </c>
      <c r="P6" s="126">
        <f t="shared" si="2"/>
        <v>0.5135512713048338</v>
      </c>
      <c r="Q6" s="125">
        <v>6418</v>
      </c>
      <c r="R6" s="127">
        <f t="shared" si="3"/>
        <v>0.18478862839209895</v>
      </c>
      <c r="S6" s="124"/>
    </row>
    <row r="7" spans="1:19" s="108" customFormat="1" ht="27.95" customHeight="1" x14ac:dyDescent="0.25">
      <c r="A7" s="124"/>
      <c r="B7" s="124"/>
      <c r="C7" s="118" t="s">
        <v>36</v>
      </c>
      <c r="D7" s="109">
        <v>196</v>
      </c>
      <c r="E7" s="109">
        <v>351</v>
      </c>
      <c r="F7" s="110">
        <f t="shared" si="0"/>
        <v>0.79081632653061229</v>
      </c>
      <c r="G7" s="109">
        <v>1390</v>
      </c>
      <c r="H7" s="117">
        <f t="shared" si="1"/>
        <v>2.9601139601139601</v>
      </c>
      <c r="I7" s="124"/>
      <c r="J7" s="124"/>
      <c r="K7" s="124"/>
      <c r="L7" s="124"/>
      <c r="M7" s="118" t="s">
        <v>36</v>
      </c>
      <c r="N7" s="125">
        <v>275</v>
      </c>
      <c r="O7" s="125">
        <v>899</v>
      </c>
      <c r="P7" s="126">
        <f t="shared" si="2"/>
        <v>2.269090909090909</v>
      </c>
      <c r="Q7" s="125">
        <v>1390</v>
      </c>
      <c r="R7" s="127">
        <f t="shared" si="3"/>
        <v>0.5461624026696329</v>
      </c>
      <c r="S7" s="124"/>
    </row>
    <row r="8" spans="1:19" s="108" customFormat="1" ht="27.95" customHeight="1" x14ac:dyDescent="0.25">
      <c r="A8" s="124"/>
      <c r="B8" s="124"/>
      <c r="C8" s="118" t="s">
        <v>27</v>
      </c>
      <c r="D8" s="109">
        <v>855</v>
      </c>
      <c r="E8" s="109">
        <v>3685</v>
      </c>
      <c r="F8" s="110">
        <f t="shared" si="0"/>
        <v>3.3099415204678362</v>
      </c>
      <c r="G8" s="109">
        <v>13009</v>
      </c>
      <c r="H8" s="117">
        <f t="shared" si="1"/>
        <v>2.5302578018995932</v>
      </c>
      <c r="I8" s="124"/>
      <c r="J8" s="124"/>
      <c r="K8" s="124"/>
      <c r="L8" s="124"/>
      <c r="M8" s="118" t="s">
        <v>27</v>
      </c>
      <c r="N8" s="125">
        <v>2256</v>
      </c>
      <c r="O8" s="125">
        <v>8522</v>
      </c>
      <c r="P8" s="126">
        <f t="shared" si="2"/>
        <v>2.7774822695035462</v>
      </c>
      <c r="Q8" s="125">
        <v>13009</v>
      </c>
      <c r="R8" s="127">
        <f t="shared" si="3"/>
        <v>0.52651959633888756</v>
      </c>
      <c r="S8" s="124"/>
    </row>
    <row r="9" spans="1:19" s="108" customFormat="1" ht="27.95" customHeight="1" x14ac:dyDescent="0.25">
      <c r="A9" s="124"/>
      <c r="B9" s="124"/>
      <c r="C9" s="118" t="s">
        <v>37</v>
      </c>
      <c r="D9" s="109">
        <v>126</v>
      </c>
      <c r="E9" s="109">
        <v>216</v>
      </c>
      <c r="F9" s="110">
        <f t="shared" si="0"/>
        <v>0.7142857142857143</v>
      </c>
      <c r="G9" s="109">
        <v>491</v>
      </c>
      <c r="H9" s="117">
        <f t="shared" si="1"/>
        <v>1.2731481481481481</v>
      </c>
      <c r="I9" s="124"/>
      <c r="J9" s="124"/>
      <c r="K9" s="124"/>
      <c r="L9" s="124"/>
      <c r="M9" s="118" t="s">
        <v>37</v>
      </c>
      <c r="N9" s="125">
        <v>168</v>
      </c>
      <c r="O9" s="125">
        <v>311</v>
      </c>
      <c r="P9" s="126">
        <f t="shared" si="2"/>
        <v>0.85119047619047616</v>
      </c>
      <c r="Q9" s="125">
        <v>491</v>
      </c>
      <c r="R9" s="127">
        <f t="shared" si="3"/>
        <v>0.5787781350482315</v>
      </c>
      <c r="S9" s="124"/>
    </row>
    <row r="10" spans="1:19" s="108" customFormat="1" ht="27.95" customHeight="1" x14ac:dyDescent="0.25">
      <c r="A10" s="124"/>
      <c r="B10" s="124"/>
      <c r="C10" s="118" t="s">
        <v>38</v>
      </c>
      <c r="D10" s="109">
        <v>401</v>
      </c>
      <c r="E10" s="109">
        <v>1208</v>
      </c>
      <c r="F10" s="110">
        <f t="shared" si="0"/>
        <v>2.0124688279301743</v>
      </c>
      <c r="G10" s="109">
        <v>4844</v>
      </c>
      <c r="H10" s="117">
        <f t="shared" si="1"/>
        <v>3.0099337748344372</v>
      </c>
      <c r="I10" s="124"/>
      <c r="J10" s="124"/>
      <c r="K10" s="124"/>
      <c r="L10" s="124"/>
      <c r="M10" s="118" t="s">
        <v>38</v>
      </c>
      <c r="N10" s="125">
        <v>813</v>
      </c>
      <c r="O10" s="125">
        <v>3338</v>
      </c>
      <c r="P10" s="126">
        <f t="shared" si="2"/>
        <v>3.105781057810578</v>
      </c>
      <c r="Q10" s="125">
        <v>4844</v>
      </c>
      <c r="R10" s="127">
        <f t="shared" si="3"/>
        <v>0.45116836428999402</v>
      </c>
      <c r="S10" s="124"/>
    </row>
    <row r="11" spans="1:19" s="108" customFormat="1" ht="27.95" customHeight="1" x14ac:dyDescent="0.25">
      <c r="A11" s="124"/>
      <c r="B11" s="124"/>
      <c r="C11" s="118" t="s">
        <v>48</v>
      </c>
      <c r="D11" s="109">
        <v>76</v>
      </c>
      <c r="E11" s="109">
        <v>87</v>
      </c>
      <c r="F11" s="110">
        <f t="shared" si="0"/>
        <v>0.14473684210526316</v>
      </c>
      <c r="G11" s="109">
        <v>92</v>
      </c>
      <c r="H11" s="117">
        <f t="shared" si="1"/>
        <v>5.7471264367816091E-2</v>
      </c>
      <c r="I11" s="124"/>
      <c r="J11" s="124"/>
      <c r="K11" s="124"/>
      <c r="L11" s="124"/>
      <c r="M11" s="118" t="s">
        <v>48</v>
      </c>
      <c r="N11" s="125">
        <v>79</v>
      </c>
      <c r="O11" s="125">
        <v>84</v>
      </c>
      <c r="P11" s="126">
        <f t="shared" si="2"/>
        <v>6.3291139240506333E-2</v>
      </c>
      <c r="Q11" s="125">
        <v>92</v>
      </c>
      <c r="R11" s="127">
        <f t="shared" si="3"/>
        <v>9.5238095238095233E-2</v>
      </c>
      <c r="S11" s="124"/>
    </row>
    <row r="12" spans="1:19" s="108" customFormat="1" ht="27.95" customHeight="1" x14ac:dyDescent="0.25">
      <c r="A12" s="124"/>
      <c r="B12" s="124"/>
      <c r="C12" s="118" t="s">
        <v>39</v>
      </c>
      <c r="D12" s="109">
        <v>334</v>
      </c>
      <c r="E12" s="109">
        <v>3559</v>
      </c>
      <c r="F12" s="110">
        <f t="shared" si="0"/>
        <v>9.6556886227544911</v>
      </c>
      <c r="G12" s="109">
        <v>11397</v>
      </c>
      <c r="H12" s="117">
        <f t="shared" si="1"/>
        <v>2.2023040179825792</v>
      </c>
      <c r="I12" s="124"/>
      <c r="J12" s="124"/>
      <c r="K12" s="124"/>
      <c r="L12" s="124"/>
      <c r="M12" s="118" t="s">
        <v>39</v>
      </c>
      <c r="N12" s="125">
        <v>2256</v>
      </c>
      <c r="O12" s="125">
        <v>8418</v>
      </c>
      <c r="P12" s="126">
        <f t="shared" si="2"/>
        <v>2.7313829787234041</v>
      </c>
      <c r="Q12" s="125">
        <v>11397</v>
      </c>
      <c r="R12" s="127">
        <f t="shared" si="3"/>
        <v>0.35388453314326446</v>
      </c>
      <c r="S12" s="124"/>
    </row>
    <row r="13" spans="1:19" s="108" customFormat="1" ht="27.95" customHeight="1" x14ac:dyDescent="0.25">
      <c r="A13" s="124"/>
      <c r="B13" s="124"/>
      <c r="C13" s="118" t="s">
        <v>40</v>
      </c>
      <c r="D13" s="109">
        <v>7</v>
      </c>
      <c r="E13" s="109">
        <v>208</v>
      </c>
      <c r="F13" s="110">
        <f t="shared" si="0"/>
        <v>28.714285714285715</v>
      </c>
      <c r="G13" s="109">
        <v>294</v>
      </c>
      <c r="H13" s="117">
        <f t="shared" si="1"/>
        <v>0.41346153846153844</v>
      </c>
      <c r="I13" s="124"/>
      <c r="J13" s="124"/>
      <c r="K13" s="124"/>
      <c r="L13" s="124"/>
      <c r="M13" s="118" t="s">
        <v>40</v>
      </c>
      <c r="N13" s="125">
        <v>117</v>
      </c>
      <c r="O13" s="125">
        <v>204</v>
      </c>
      <c r="P13" s="126">
        <f t="shared" si="2"/>
        <v>0.74358974358974361</v>
      </c>
      <c r="Q13" s="125">
        <v>294</v>
      </c>
      <c r="R13" s="127">
        <f t="shared" si="3"/>
        <v>0.44117647058823528</v>
      </c>
      <c r="S13" s="124"/>
    </row>
    <row r="14" spans="1:19" s="108" customFormat="1" ht="27.95" customHeight="1" x14ac:dyDescent="0.25">
      <c r="A14" s="124"/>
      <c r="B14" s="124"/>
      <c r="C14" s="118" t="s">
        <v>28</v>
      </c>
      <c r="D14" s="109">
        <v>131</v>
      </c>
      <c r="E14" s="109">
        <v>518</v>
      </c>
      <c r="F14" s="110">
        <f t="shared" si="0"/>
        <v>2.9541984732824429</v>
      </c>
      <c r="G14" s="109">
        <v>2503</v>
      </c>
      <c r="H14" s="117">
        <f t="shared" si="1"/>
        <v>3.8320463320463318</v>
      </c>
      <c r="I14" s="124"/>
      <c r="J14" s="124"/>
      <c r="K14" s="124"/>
      <c r="L14" s="124"/>
      <c r="M14" s="118" t="s">
        <v>28</v>
      </c>
      <c r="N14" s="125">
        <v>337</v>
      </c>
      <c r="O14" s="125">
        <v>1588</v>
      </c>
      <c r="P14" s="126">
        <f t="shared" si="2"/>
        <v>3.7121661721068251</v>
      </c>
      <c r="Q14" s="125">
        <v>2503</v>
      </c>
      <c r="R14" s="127">
        <f t="shared" si="3"/>
        <v>0.57619647355163728</v>
      </c>
      <c r="S14" s="124"/>
    </row>
    <row r="15" spans="1:19" s="108" customFormat="1" ht="27.95" customHeight="1" x14ac:dyDescent="0.25">
      <c r="A15" s="124"/>
      <c r="B15" s="124"/>
      <c r="C15" s="118" t="s">
        <v>24</v>
      </c>
      <c r="D15" s="109">
        <v>263</v>
      </c>
      <c r="E15" s="109">
        <v>2240</v>
      </c>
      <c r="F15" s="110">
        <f t="shared" si="0"/>
        <v>7.5171102661596958</v>
      </c>
      <c r="G15" s="109">
        <v>12365</v>
      </c>
      <c r="H15" s="117">
        <f t="shared" si="1"/>
        <v>4.5200892857142856</v>
      </c>
      <c r="I15" s="124"/>
      <c r="J15" s="124"/>
      <c r="K15" s="124"/>
      <c r="L15" s="124"/>
      <c r="M15" s="118" t="s">
        <v>24</v>
      </c>
      <c r="N15" s="125">
        <v>1215</v>
      </c>
      <c r="O15" s="125">
        <v>6830</v>
      </c>
      <c r="P15" s="126">
        <f t="shared" si="2"/>
        <v>4.6213991769547329</v>
      </c>
      <c r="Q15" s="125">
        <v>12365</v>
      </c>
      <c r="R15" s="127">
        <f>(Q15-O15)/O15</f>
        <v>0.81039531478770133</v>
      </c>
      <c r="S15" s="124"/>
    </row>
    <row r="16" spans="1:19" s="108" customFormat="1" ht="27.95" customHeight="1" x14ac:dyDescent="0.25">
      <c r="A16" s="124"/>
      <c r="B16" s="124"/>
      <c r="C16" s="118" t="s">
        <v>30</v>
      </c>
      <c r="D16" s="109">
        <v>49</v>
      </c>
      <c r="E16" s="109">
        <v>61</v>
      </c>
      <c r="F16" s="110">
        <f t="shared" si="0"/>
        <v>0.24489795918367346</v>
      </c>
      <c r="G16" s="109">
        <v>65</v>
      </c>
      <c r="H16" s="117">
        <f t="shared" si="1"/>
        <v>6.5573770491803282E-2</v>
      </c>
      <c r="I16" s="124"/>
      <c r="J16" s="124"/>
      <c r="K16" s="124"/>
      <c r="L16" s="124"/>
      <c r="M16" s="118" t="s">
        <v>30</v>
      </c>
      <c r="N16" s="125">
        <v>51</v>
      </c>
      <c r="O16" s="125">
        <v>62</v>
      </c>
      <c r="P16" s="126">
        <f t="shared" si="2"/>
        <v>0.21568627450980393</v>
      </c>
      <c r="Q16" s="125">
        <v>65</v>
      </c>
      <c r="R16" s="127">
        <f t="shared" si="3"/>
        <v>4.8387096774193547E-2</v>
      </c>
      <c r="S16" s="124"/>
    </row>
    <row r="17" spans="1:19" s="108" customFormat="1" ht="27.95" customHeight="1" x14ac:dyDescent="0.25">
      <c r="A17" s="124"/>
      <c r="B17" s="124"/>
      <c r="C17" s="118" t="s">
        <v>26</v>
      </c>
      <c r="D17" s="109">
        <v>654</v>
      </c>
      <c r="E17" s="109">
        <v>1483</v>
      </c>
      <c r="F17" s="110">
        <f t="shared" si="0"/>
        <v>1.2675840978593271</v>
      </c>
      <c r="G17" s="109">
        <v>4298</v>
      </c>
      <c r="H17" s="117">
        <f t="shared" si="1"/>
        <v>1.8981793661496966</v>
      </c>
      <c r="I17" s="124"/>
      <c r="J17" s="124"/>
      <c r="K17" s="124"/>
      <c r="L17" s="124"/>
      <c r="M17" s="118" t="s">
        <v>26</v>
      </c>
      <c r="N17" s="125">
        <v>1187</v>
      </c>
      <c r="O17" s="125">
        <v>3036</v>
      </c>
      <c r="P17" s="126">
        <f t="shared" si="2"/>
        <v>1.5577085088458298</v>
      </c>
      <c r="Q17" s="125">
        <v>4298</v>
      </c>
      <c r="R17" s="127">
        <f t="shared" si="3"/>
        <v>0.41567852437417657</v>
      </c>
      <c r="S17" s="124"/>
    </row>
    <row r="18" spans="1:19" s="108" customFormat="1" ht="27.95" customHeight="1" x14ac:dyDescent="0.25">
      <c r="A18" s="124"/>
      <c r="B18" s="124"/>
      <c r="C18" s="118" t="s">
        <v>25</v>
      </c>
      <c r="D18" s="109">
        <v>1057</v>
      </c>
      <c r="E18" s="109">
        <v>3008</v>
      </c>
      <c r="F18" s="110">
        <f t="shared" si="0"/>
        <v>1.8457899716177861</v>
      </c>
      <c r="G18" s="109">
        <v>8042</v>
      </c>
      <c r="H18" s="117">
        <f t="shared" si="1"/>
        <v>1.6735372340425532</v>
      </c>
      <c r="I18" s="124"/>
      <c r="J18" s="124"/>
      <c r="K18" s="124"/>
      <c r="L18" s="124"/>
      <c r="M18" s="118" t="s">
        <v>25</v>
      </c>
      <c r="N18" s="125">
        <v>1947</v>
      </c>
      <c r="O18" s="125">
        <v>5996</v>
      </c>
      <c r="P18" s="126">
        <f t="shared" si="2"/>
        <v>2.0796096558808421</v>
      </c>
      <c r="Q18" s="125">
        <v>8042</v>
      </c>
      <c r="R18" s="127">
        <f t="shared" si="3"/>
        <v>0.34122748498999333</v>
      </c>
      <c r="S18" s="124"/>
    </row>
    <row r="19" spans="1:19" s="108" customFormat="1" ht="27.95" customHeight="1" x14ac:dyDescent="0.25">
      <c r="A19" s="124"/>
      <c r="B19" s="124"/>
      <c r="C19" s="118" t="s">
        <v>41</v>
      </c>
      <c r="D19" s="109">
        <v>86</v>
      </c>
      <c r="E19" s="109">
        <v>611</v>
      </c>
      <c r="F19" s="110">
        <f t="shared" si="0"/>
        <v>6.1046511627906979</v>
      </c>
      <c r="G19" s="109">
        <v>5837</v>
      </c>
      <c r="H19" s="117">
        <f t="shared" si="1"/>
        <v>8.5531914893617014</v>
      </c>
      <c r="I19" s="124"/>
      <c r="J19" s="124"/>
      <c r="K19" s="124"/>
      <c r="L19" s="124"/>
      <c r="M19" s="118" t="s">
        <v>41</v>
      </c>
      <c r="N19" s="125">
        <v>259</v>
      </c>
      <c r="O19" s="125">
        <v>3320</v>
      </c>
      <c r="P19" s="126">
        <f t="shared" si="2"/>
        <v>11.818532818532818</v>
      </c>
      <c r="Q19" s="125">
        <v>5837</v>
      </c>
      <c r="R19" s="127">
        <f t="shared" si="3"/>
        <v>0.75813253012048187</v>
      </c>
      <c r="S19" s="124"/>
    </row>
    <row r="20" spans="1:19" s="108" customFormat="1" ht="27.95" customHeight="1" x14ac:dyDescent="0.25">
      <c r="A20" s="124"/>
      <c r="B20" s="124"/>
      <c r="C20" s="118" t="s">
        <v>42</v>
      </c>
      <c r="D20" s="109">
        <v>9</v>
      </c>
      <c r="E20" s="109">
        <v>22</v>
      </c>
      <c r="F20" s="110">
        <f t="shared" si="0"/>
        <v>1.4444444444444444</v>
      </c>
      <c r="G20" s="109">
        <v>385</v>
      </c>
      <c r="H20" s="117">
        <f t="shared" si="1"/>
        <v>16.5</v>
      </c>
      <c r="I20" s="124"/>
      <c r="J20" s="124"/>
      <c r="K20" s="124"/>
      <c r="L20" s="124"/>
      <c r="M20" s="118" t="s">
        <v>42</v>
      </c>
      <c r="N20" s="125">
        <v>20</v>
      </c>
      <c r="O20" s="125">
        <v>223</v>
      </c>
      <c r="P20" s="126">
        <f t="shared" si="2"/>
        <v>10.15</v>
      </c>
      <c r="Q20" s="125">
        <v>385</v>
      </c>
      <c r="R20" s="127">
        <f t="shared" si="3"/>
        <v>0.726457399103139</v>
      </c>
      <c r="S20" s="124"/>
    </row>
    <row r="21" spans="1:19" s="108" customFormat="1" ht="27.95" customHeight="1" x14ac:dyDescent="0.25">
      <c r="A21" s="124"/>
      <c r="B21" s="124"/>
      <c r="C21" s="118" t="s">
        <v>43</v>
      </c>
      <c r="D21" s="109">
        <v>12</v>
      </c>
      <c r="E21" s="109">
        <v>31</v>
      </c>
      <c r="F21" s="110">
        <f t="shared" si="0"/>
        <v>1.5833333333333333</v>
      </c>
      <c r="G21" s="109">
        <v>356</v>
      </c>
      <c r="H21" s="117">
        <f t="shared" si="1"/>
        <v>10.483870967741936</v>
      </c>
      <c r="I21" s="124"/>
      <c r="J21" s="124"/>
      <c r="K21" s="124"/>
      <c r="L21" s="124"/>
      <c r="M21" s="118" t="s">
        <v>43</v>
      </c>
      <c r="N21" s="125">
        <v>26</v>
      </c>
      <c r="O21" s="125">
        <v>147</v>
      </c>
      <c r="P21" s="126">
        <f t="shared" si="2"/>
        <v>4.6538461538461542</v>
      </c>
      <c r="Q21" s="125">
        <v>356</v>
      </c>
      <c r="R21" s="127">
        <f t="shared" si="3"/>
        <v>1.4217687074829932</v>
      </c>
      <c r="S21" s="124"/>
    </row>
    <row r="22" spans="1:19" s="108" customFormat="1" ht="27.95" customHeight="1" x14ac:dyDescent="0.25">
      <c r="A22" s="124"/>
      <c r="B22" s="124"/>
      <c r="C22" s="118" t="s">
        <v>44</v>
      </c>
      <c r="D22" s="109">
        <v>60</v>
      </c>
      <c r="E22" s="109">
        <v>805</v>
      </c>
      <c r="F22" s="110">
        <f t="shared" si="0"/>
        <v>12.416666666666666</v>
      </c>
      <c r="G22" s="109">
        <v>2626</v>
      </c>
      <c r="H22" s="117">
        <f t="shared" si="1"/>
        <v>2.2621118012422361</v>
      </c>
      <c r="I22" s="124"/>
      <c r="J22" s="124"/>
      <c r="K22" s="124"/>
      <c r="L22" s="124"/>
      <c r="M22" s="118" t="s">
        <v>44</v>
      </c>
      <c r="N22" s="125">
        <v>454</v>
      </c>
      <c r="O22" s="125">
        <v>1771</v>
      </c>
      <c r="P22" s="126">
        <f t="shared" si="2"/>
        <v>2.9008810572687223</v>
      </c>
      <c r="Q22" s="125">
        <v>2626</v>
      </c>
      <c r="R22" s="127">
        <f t="shared" si="3"/>
        <v>0.48277809147374362</v>
      </c>
      <c r="S22" s="124"/>
    </row>
    <row r="23" spans="1:19" s="108" customFormat="1" ht="27.95" customHeight="1" x14ac:dyDescent="0.25">
      <c r="A23" s="124"/>
      <c r="B23" s="124"/>
      <c r="C23" s="118" t="s">
        <v>29</v>
      </c>
      <c r="D23" s="109">
        <v>486</v>
      </c>
      <c r="E23" s="109">
        <v>2276</v>
      </c>
      <c r="F23" s="110">
        <f t="shared" si="0"/>
        <v>3.6831275720164611</v>
      </c>
      <c r="G23" s="109">
        <v>15743</v>
      </c>
      <c r="H23" s="117">
        <f t="shared" si="1"/>
        <v>5.9169595782073809</v>
      </c>
      <c r="I23" s="124"/>
      <c r="J23" s="124"/>
      <c r="K23" s="124"/>
      <c r="L23" s="124"/>
      <c r="M23" s="118" t="s">
        <v>29</v>
      </c>
      <c r="N23" s="125">
        <v>1216</v>
      </c>
      <c r="O23" s="125">
        <v>7905</v>
      </c>
      <c r="P23" s="126">
        <f t="shared" si="2"/>
        <v>5.5008223684210522</v>
      </c>
      <c r="Q23" s="125">
        <v>15743</v>
      </c>
      <c r="R23" s="127">
        <f t="shared" si="3"/>
        <v>0.99152435167615438</v>
      </c>
      <c r="S23" s="124"/>
    </row>
    <row r="24" spans="1:19" s="108" customFormat="1" ht="27.95" customHeight="1" x14ac:dyDescent="0.25">
      <c r="A24" s="124"/>
      <c r="B24" s="124"/>
      <c r="C24" s="118" t="s">
        <v>142</v>
      </c>
      <c r="D24" s="109">
        <v>36</v>
      </c>
      <c r="E24" s="109">
        <v>138</v>
      </c>
      <c r="F24" s="110">
        <f t="shared" si="0"/>
        <v>2.8333333333333335</v>
      </c>
      <c r="G24" s="109">
        <v>1558</v>
      </c>
      <c r="H24" s="117">
        <f t="shared" si="1"/>
        <v>10.289855072463768</v>
      </c>
      <c r="I24" s="124"/>
      <c r="J24" s="124"/>
      <c r="K24" s="124"/>
      <c r="L24" s="124"/>
      <c r="M24" s="118" t="s">
        <v>142</v>
      </c>
      <c r="N24" s="125">
        <v>44</v>
      </c>
      <c r="O24" s="125">
        <v>938</v>
      </c>
      <c r="P24" s="126">
        <f t="shared" si="2"/>
        <v>20.318181818181817</v>
      </c>
      <c r="Q24" s="125">
        <v>1558</v>
      </c>
      <c r="R24" s="127">
        <f t="shared" si="3"/>
        <v>0.66098081023454158</v>
      </c>
      <c r="S24" s="124"/>
    </row>
    <row r="25" spans="1:19" s="108" customFormat="1" ht="27.95" customHeight="1" x14ac:dyDescent="0.25">
      <c r="A25" s="124"/>
      <c r="B25" s="124"/>
      <c r="C25" s="118" t="s">
        <v>46</v>
      </c>
      <c r="D25" s="109">
        <v>155</v>
      </c>
      <c r="E25" s="109">
        <v>1055</v>
      </c>
      <c r="F25" s="110">
        <f t="shared" si="0"/>
        <v>5.806451612903226</v>
      </c>
      <c r="G25" s="109">
        <v>2592</v>
      </c>
      <c r="H25" s="117">
        <f t="shared" si="1"/>
        <v>1.456872037914692</v>
      </c>
      <c r="I25" s="124"/>
      <c r="J25" s="124"/>
      <c r="K25" s="124"/>
      <c r="L25" s="124"/>
      <c r="M25" s="118" t="s">
        <v>46</v>
      </c>
      <c r="N25" s="125">
        <v>457</v>
      </c>
      <c r="O25" s="125">
        <v>2020</v>
      </c>
      <c r="P25" s="126">
        <f t="shared" si="2"/>
        <v>3.4201312910284463</v>
      </c>
      <c r="Q25" s="125">
        <v>2592</v>
      </c>
      <c r="R25" s="127">
        <f t="shared" si="3"/>
        <v>0.28316831683168314</v>
      </c>
      <c r="S25" s="124"/>
    </row>
    <row r="26" spans="1:19" s="108" customFormat="1" ht="27.95" customHeight="1" thickBot="1" x14ac:dyDescent="0.3">
      <c r="A26" s="124"/>
      <c r="B26" s="124"/>
      <c r="C26" s="119" t="s">
        <v>47</v>
      </c>
      <c r="D26" s="122">
        <v>91</v>
      </c>
      <c r="E26" s="122">
        <v>426</v>
      </c>
      <c r="F26" s="120">
        <f t="shared" si="0"/>
        <v>3.6813186813186811</v>
      </c>
      <c r="G26" s="122">
        <v>5419</v>
      </c>
      <c r="H26" s="121">
        <f t="shared" si="1"/>
        <v>11.720657276995306</v>
      </c>
      <c r="I26" s="124"/>
      <c r="J26" s="124"/>
      <c r="K26" s="124"/>
      <c r="L26" s="124"/>
      <c r="M26" s="119" t="s">
        <v>47</v>
      </c>
      <c r="N26" s="128">
        <v>204</v>
      </c>
      <c r="O26" s="128">
        <v>2243</v>
      </c>
      <c r="P26" s="129">
        <f t="shared" si="2"/>
        <v>9.9950980392156854</v>
      </c>
      <c r="Q26" s="128">
        <v>5419</v>
      </c>
      <c r="R26" s="130">
        <f t="shared" si="3"/>
        <v>1.4159607668301382</v>
      </c>
      <c r="S26" s="124"/>
    </row>
    <row r="27" spans="1:19" s="123" customFormat="1" x14ac:dyDescent="0.25">
      <c r="D27" s="124"/>
      <c r="E27" s="124"/>
      <c r="F27" s="124"/>
      <c r="G27" s="124"/>
      <c r="H27" s="124"/>
      <c r="N27" s="124"/>
      <c r="O27" s="124"/>
      <c r="P27" s="124"/>
      <c r="Q27" s="124"/>
      <c r="R27" s="124"/>
    </row>
    <row r="28" spans="1:19" s="123" customFormat="1" x14ac:dyDescent="0.25">
      <c r="D28" s="124"/>
      <c r="E28" s="124"/>
      <c r="F28" s="124"/>
      <c r="G28" s="124"/>
      <c r="H28" s="124"/>
      <c r="N28" s="124"/>
      <c r="O28" s="124"/>
      <c r="P28" s="124"/>
      <c r="Q28" s="124"/>
      <c r="R28" s="124"/>
    </row>
    <row r="29" spans="1:19" s="123" customFormat="1" x14ac:dyDescent="0.25">
      <c r="D29" s="124"/>
      <c r="E29" s="124"/>
      <c r="F29" s="124"/>
      <c r="G29" s="124"/>
      <c r="H29" s="124"/>
      <c r="N29" s="124"/>
      <c r="O29" s="124"/>
      <c r="P29" s="124"/>
      <c r="Q29" s="124"/>
      <c r="R29" s="124"/>
    </row>
    <row r="30" spans="1:19" s="123" customFormat="1" x14ac:dyDescent="0.25">
      <c r="D30" s="124"/>
      <c r="E30" s="124"/>
      <c r="F30" s="124"/>
      <c r="G30" s="124"/>
      <c r="H30" s="124"/>
      <c r="N30" s="124"/>
      <c r="O30" s="124"/>
      <c r="P30" s="124"/>
      <c r="Q30" s="124"/>
      <c r="R30" s="124"/>
    </row>
    <row r="31" spans="1:19" s="123" customFormat="1" x14ac:dyDescent="0.25">
      <c r="D31" s="124"/>
      <c r="E31" s="124"/>
      <c r="F31" s="124"/>
      <c r="G31" s="124"/>
      <c r="H31" s="124"/>
      <c r="N31" s="124"/>
      <c r="O31" s="124"/>
      <c r="P31" s="124"/>
      <c r="Q31" s="124"/>
      <c r="R31" s="124"/>
    </row>
    <row r="32" spans="1:19" s="123" customFormat="1" x14ac:dyDescent="0.25">
      <c r="D32" s="124"/>
      <c r="E32" s="124"/>
      <c r="F32" s="124"/>
      <c r="G32" s="124"/>
      <c r="H32" s="124"/>
    </row>
    <row r="33" spans="4:8" s="123" customFormat="1" x14ac:dyDescent="0.25">
      <c r="D33" s="124"/>
      <c r="E33" s="124"/>
      <c r="F33" s="124"/>
      <c r="G33" s="124"/>
      <c r="H33" s="124"/>
    </row>
    <row r="34" spans="4:8" s="123" customFormat="1" x14ac:dyDescent="0.25">
      <c r="D34" s="124"/>
      <c r="E34" s="124"/>
      <c r="F34" s="124"/>
      <c r="G34" s="124"/>
      <c r="H34" s="124"/>
    </row>
    <row r="35" spans="4:8" s="123" customFormat="1" x14ac:dyDescent="0.25">
      <c r="D35" s="124"/>
      <c r="E35" s="124"/>
      <c r="F35" s="124"/>
      <c r="G35" s="124"/>
      <c r="H35" s="124"/>
    </row>
    <row r="36" spans="4:8" s="123" customFormat="1" x14ac:dyDescent="0.25">
      <c r="D36" s="124"/>
      <c r="E36" s="124"/>
      <c r="F36" s="124"/>
      <c r="G36" s="124"/>
      <c r="H36" s="124"/>
    </row>
    <row r="37" spans="4:8" s="123" customFormat="1" x14ac:dyDescent="0.25">
      <c r="D37" s="124"/>
      <c r="E37" s="124"/>
      <c r="F37" s="124"/>
      <c r="G37" s="124"/>
      <c r="H37" s="124"/>
    </row>
    <row r="38" spans="4:8" s="123" customFormat="1" x14ac:dyDescent="0.25">
      <c r="D38" s="124"/>
      <c r="E38" s="124"/>
      <c r="F38" s="124"/>
      <c r="G38" s="124"/>
      <c r="H38" s="124"/>
    </row>
    <row r="39" spans="4:8" s="123" customFormat="1" x14ac:dyDescent="0.25">
      <c r="D39" s="124"/>
      <c r="E39" s="124"/>
      <c r="F39" s="124"/>
      <c r="G39" s="124"/>
      <c r="H39" s="124"/>
    </row>
    <row r="40" spans="4:8" s="123" customFormat="1" x14ac:dyDescent="0.25">
      <c r="D40" s="124"/>
      <c r="E40" s="124"/>
      <c r="F40" s="124"/>
      <c r="G40" s="124"/>
      <c r="H40" s="124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80" t="s">
        <v>31</v>
      </c>
      <c r="I1" s="96" t="s">
        <v>137</v>
      </c>
      <c r="J1" s="96" t="s">
        <v>138</v>
      </c>
      <c r="K1" s="98" t="s">
        <v>18</v>
      </c>
      <c r="L1" s="99" t="s">
        <v>139</v>
      </c>
      <c r="M1" s="99" t="s">
        <v>111</v>
      </c>
      <c r="N1" s="99" t="s">
        <v>112</v>
      </c>
      <c r="O1" s="81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8" t="s">
        <v>51</v>
      </c>
      <c r="I2" s="97">
        <v>3075646</v>
      </c>
      <c r="J2" s="96">
        <v>200</v>
      </c>
      <c r="K2" s="100" t="s">
        <v>20</v>
      </c>
      <c r="L2" s="101">
        <v>96988</v>
      </c>
      <c r="M2" s="101">
        <v>2252</v>
      </c>
      <c r="N2" s="101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8" t="s">
        <v>22</v>
      </c>
      <c r="I3" s="97">
        <v>17541141</v>
      </c>
      <c r="J3" s="96">
        <v>307571</v>
      </c>
      <c r="K3" s="100" t="s">
        <v>22</v>
      </c>
      <c r="L3" s="101">
        <v>264956</v>
      </c>
      <c r="M3" s="101">
        <v>5395</v>
      </c>
      <c r="N3" s="101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8" t="s">
        <v>39</v>
      </c>
      <c r="I4" s="97">
        <v>770881</v>
      </c>
      <c r="J4" s="96">
        <v>53219</v>
      </c>
      <c r="K4" s="100" t="s">
        <v>39</v>
      </c>
      <c r="L4" s="101">
        <v>8532</v>
      </c>
      <c r="M4" s="102">
        <v>228</v>
      </c>
      <c r="N4" s="101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8" t="s">
        <v>25</v>
      </c>
      <c r="I5" s="97">
        <v>747610</v>
      </c>
      <c r="J5" s="96">
        <v>203013</v>
      </c>
      <c r="K5" s="100" t="s">
        <v>25</v>
      </c>
      <c r="L5" s="101">
        <v>6175</v>
      </c>
      <c r="M5" s="102">
        <v>177</v>
      </c>
      <c r="N5" s="101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8" t="s">
        <v>21</v>
      </c>
      <c r="I6" s="97">
        <v>1204541</v>
      </c>
      <c r="J6" s="96">
        <v>99633</v>
      </c>
      <c r="K6" s="100" t="s">
        <v>21</v>
      </c>
      <c r="L6" s="101">
        <v>5492</v>
      </c>
      <c r="M6" s="102">
        <v>215</v>
      </c>
      <c r="N6" s="101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8" t="s">
        <v>46</v>
      </c>
      <c r="I7" s="97">
        <v>176830</v>
      </c>
      <c r="J7" s="96">
        <v>21571</v>
      </c>
      <c r="K7" s="100" t="s">
        <v>46</v>
      </c>
      <c r="L7" s="101">
        <v>2101</v>
      </c>
      <c r="M7" s="102">
        <v>29</v>
      </c>
      <c r="N7" s="102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8" t="s">
        <v>28</v>
      </c>
      <c r="I8" s="97">
        <v>393531</v>
      </c>
      <c r="J8" s="96">
        <v>89680</v>
      </c>
      <c r="K8" s="100" t="s">
        <v>28</v>
      </c>
      <c r="L8" s="101">
        <v>1627</v>
      </c>
      <c r="M8" s="102">
        <v>59</v>
      </c>
      <c r="N8" s="102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8" t="s">
        <v>26</v>
      </c>
      <c r="I9" s="97">
        <v>664057</v>
      </c>
      <c r="J9" s="96">
        <v>94078</v>
      </c>
      <c r="K9" s="100" t="s">
        <v>26</v>
      </c>
      <c r="L9" s="101">
        <v>3163</v>
      </c>
      <c r="M9" s="102">
        <v>55</v>
      </c>
      <c r="N9" s="101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8" t="s">
        <v>24</v>
      </c>
      <c r="I10" s="97">
        <v>1990338</v>
      </c>
      <c r="J10" s="96">
        <v>148827</v>
      </c>
      <c r="K10" s="100" t="s">
        <v>24</v>
      </c>
      <c r="L10" s="101">
        <v>7187</v>
      </c>
      <c r="M10" s="102">
        <v>131</v>
      </c>
      <c r="N10" s="101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8" t="s">
        <v>44</v>
      </c>
      <c r="I11" s="97">
        <v>365698</v>
      </c>
      <c r="J11" s="96">
        <v>243943</v>
      </c>
      <c r="K11" s="100" t="s">
        <v>44</v>
      </c>
      <c r="L11" s="101">
        <v>1805</v>
      </c>
      <c r="M11" s="102">
        <v>15</v>
      </c>
      <c r="N11" s="102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8" t="s">
        <v>38</v>
      </c>
      <c r="I12" s="97">
        <v>1385961</v>
      </c>
      <c r="J12" s="96">
        <v>78781</v>
      </c>
      <c r="K12" s="100" t="s">
        <v>38</v>
      </c>
      <c r="L12" s="101">
        <v>3649</v>
      </c>
      <c r="M12" s="102">
        <v>49</v>
      </c>
      <c r="N12" s="101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8" t="s">
        <v>27</v>
      </c>
      <c r="I13" s="97">
        <v>3760450</v>
      </c>
      <c r="J13" s="96">
        <v>165321</v>
      </c>
      <c r="K13" s="100" t="s">
        <v>27</v>
      </c>
      <c r="L13" s="101">
        <v>8917</v>
      </c>
      <c r="M13" s="102">
        <v>126</v>
      </c>
      <c r="N13" s="101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8" t="s">
        <v>41</v>
      </c>
      <c r="I14" s="97">
        <v>1424397</v>
      </c>
      <c r="J14" s="96">
        <v>155488</v>
      </c>
      <c r="K14" s="100" t="s">
        <v>41</v>
      </c>
      <c r="L14" s="101">
        <v>3510</v>
      </c>
      <c r="M14" s="102">
        <v>47</v>
      </c>
      <c r="N14" s="101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8" t="s">
        <v>29</v>
      </c>
      <c r="I15" s="97">
        <v>3536418</v>
      </c>
      <c r="J15" s="96">
        <v>133007</v>
      </c>
      <c r="K15" s="100" t="s">
        <v>29</v>
      </c>
      <c r="L15" s="101">
        <v>8582</v>
      </c>
      <c r="M15" s="102">
        <v>95</v>
      </c>
      <c r="N15" s="101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8" t="s">
        <v>45</v>
      </c>
      <c r="I16" s="97">
        <v>978313</v>
      </c>
      <c r="J16" s="96">
        <v>136351</v>
      </c>
      <c r="K16" s="100" t="s">
        <v>45</v>
      </c>
      <c r="L16" s="102">
        <v>975</v>
      </c>
      <c r="M16" s="102">
        <v>13</v>
      </c>
      <c r="N16" s="102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8" t="s">
        <v>36</v>
      </c>
      <c r="I17" s="97">
        <v>618994</v>
      </c>
      <c r="J17" s="96">
        <v>224686</v>
      </c>
      <c r="K17" s="100" t="s">
        <v>36</v>
      </c>
      <c r="L17" s="102">
        <v>956</v>
      </c>
      <c r="M17" s="102">
        <v>7</v>
      </c>
      <c r="N17" s="102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8" t="s">
        <v>47</v>
      </c>
      <c r="I18" s="97">
        <v>1694656</v>
      </c>
      <c r="J18" s="96">
        <v>22524</v>
      </c>
      <c r="K18" s="100" t="s">
        <v>47</v>
      </c>
      <c r="L18" s="101">
        <v>2485</v>
      </c>
      <c r="M18" s="102">
        <v>14</v>
      </c>
      <c r="N18" s="101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8" t="s">
        <v>40</v>
      </c>
      <c r="I19" s="97">
        <v>358428</v>
      </c>
      <c r="J19" s="96">
        <v>143440</v>
      </c>
      <c r="K19" s="100" t="s">
        <v>40</v>
      </c>
      <c r="L19" s="102">
        <v>240</v>
      </c>
      <c r="M19" s="102">
        <v>2</v>
      </c>
      <c r="N19" s="102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8" t="s">
        <v>37</v>
      </c>
      <c r="I20" s="97">
        <v>1120801</v>
      </c>
      <c r="J20" s="96">
        <v>88199</v>
      </c>
      <c r="K20" s="100" t="s">
        <v>37</v>
      </c>
      <c r="L20" s="102">
        <v>315</v>
      </c>
      <c r="M20" s="102">
        <v>5</v>
      </c>
      <c r="N20" s="102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8" t="s">
        <v>48</v>
      </c>
      <c r="I21" s="97">
        <v>605193</v>
      </c>
      <c r="J21" s="96">
        <v>72066</v>
      </c>
      <c r="K21" s="100" t="s">
        <v>48</v>
      </c>
      <c r="L21" s="102">
        <v>86</v>
      </c>
      <c r="M21" s="102">
        <v>1</v>
      </c>
      <c r="N21" s="102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8" t="s">
        <v>30</v>
      </c>
      <c r="I22" s="97">
        <v>1261294</v>
      </c>
      <c r="J22" s="96">
        <v>29801</v>
      </c>
      <c r="K22" s="100" t="s">
        <v>30</v>
      </c>
      <c r="L22" s="102">
        <v>74</v>
      </c>
      <c r="M22" s="102">
        <v>2</v>
      </c>
      <c r="N22" s="102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8" t="s">
        <v>42</v>
      </c>
      <c r="I23" s="97">
        <v>781217</v>
      </c>
      <c r="J23" s="96">
        <v>89651</v>
      </c>
      <c r="K23" s="100" t="s">
        <v>42</v>
      </c>
      <c r="L23" s="102">
        <v>223</v>
      </c>
      <c r="M23" s="102">
        <v>1</v>
      </c>
      <c r="N23" s="102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8" t="s">
        <v>35</v>
      </c>
      <c r="I24" s="97">
        <v>415438</v>
      </c>
      <c r="J24" s="96">
        <v>102602</v>
      </c>
      <c r="K24" s="100" t="s">
        <v>35</v>
      </c>
      <c r="L24" s="102">
        <v>67</v>
      </c>
      <c r="M24" s="102">
        <v>0</v>
      </c>
      <c r="N24" s="102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8" t="s">
        <v>43</v>
      </c>
      <c r="I25" s="97">
        <v>508328</v>
      </c>
      <c r="J25" s="96">
        <v>76748</v>
      </c>
      <c r="K25" s="100" t="s">
        <v>43</v>
      </c>
      <c r="L25" s="102">
        <v>156</v>
      </c>
      <c r="M25" s="102">
        <v>0</v>
      </c>
      <c r="N25" s="102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Hoja2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2020-09-16T23:33:13Z</dcterms:modified>
</cp:coreProperties>
</file>