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7B63A888-E88C-49B0-AD5E-33BDDB331930}" xr6:coauthVersionLast="45" xr6:coauthVersionMax="45" xr10:uidLastSave="{00000000-0000-0000-0000-000000000000}"/>
  <bookViews>
    <workbookView xWindow="1035" yWindow="0" windowWidth="16200" windowHeight="9315" tabRatio="553" xr2:uid="{00000000-000D-0000-FFFF-FFFF00000000}"/>
  </bookViews>
  <sheets>
    <sheet name="argentina_gral" sheetId="1" r:id="rId1"/>
    <sheet name="casos_provincias" sheetId="3" r:id="rId2"/>
    <sheet name="Hoja4" sheetId="17" r:id="rId3"/>
    <sheet name="Hoja5" sheetId="18" r:id="rId4"/>
    <sheet name="POBLAC_AMBA" sheetId="9" r:id="rId5"/>
    <sheet name="UTI" sheetId="5" r:id="rId6"/>
    <sheet name="Hoja1" sheetId="12" r:id="rId7"/>
    <sheet name="argentina_fallecidos" sheetId="2" r:id="rId8"/>
  </sheets>
  <definedNames>
    <definedName name="_xlnm._FilterDatabase" localSheetId="7" hidden="1">argentina_fallecidos!$A$1:$D$930</definedName>
    <definedName name="_xlnm._FilterDatabase" localSheetId="0" hidden="1">argentina_gral!$A$1:$Q$183</definedName>
    <definedName name="_xlnm._FilterDatabase" localSheetId="1" hidden="1">casos_provincias!$A$1:$E$5521</definedName>
    <definedName name="_xlnm._FilterDatabase" localSheetId="4" hidden="1">POBLAC_AMBA!$A$1:$AW$31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77" i="3" l="1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F5975" i="3" s="1"/>
  <c r="F5974" i="3"/>
  <c r="F5955" i="3"/>
  <c r="F5977" i="3"/>
  <c r="F5976" i="3"/>
  <c r="F5973" i="3"/>
  <c r="F5972" i="3"/>
  <c r="F5971" i="3"/>
  <c r="F5970" i="3"/>
  <c r="F5969" i="3"/>
  <c r="F5968" i="3"/>
  <c r="F5967" i="3"/>
  <c r="F5966" i="3"/>
  <c r="F5965" i="3"/>
  <c r="F5964" i="3"/>
  <c r="F5963" i="3"/>
  <c r="F5962" i="3"/>
  <c r="F5961" i="3"/>
  <c r="F5960" i="3"/>
  <c r="F5959" i="3"/>
  <c r="F5958" i="3"/>
  <c r="F5957" i="3"/>
  <c r="F5956" i="3"/>
  <c r="F5954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P248" i="1"/>
  <c r="P249" i="1"/>
  <c r="L248" i="1"/>
  <c r="L249" i="1"/>
  <c r="Q250" i="1"/>
  <c r="R250" i="1"/>
  <c r="I250" i="1"/>
  <c r="C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F5952" i="3" s="1"/>
  <c r="F5950" i="3"/>
  <c r="F5949" i="3"/>
  <c r="F5948" i="3"/>
  <c r="E5939" i="3"/>
  <c r="E5937" i="3"/>
  <c r="F5953" i="3"/>
  <c r="F5951" i="3"/>
  <c r="F5947" i="3"/>
  <c r="F5946" i="3"/>
  <c r="F5944" i="3"/>
  <c r="F5943" i="3"/>
  <c r="F5942" i="3"/>
  <c r="F5941" i="3"/>
  <c r="F5940" i="3"/>
  <c r="F5939" i="3"/>
  <c r="F5938" i="3"/>
  <c r="F5936" i="3"/>
  <c r="F5935" i="3"/>
  <c r="F5934" i="3"/>
  <c r="F5933" i="3"/>
  <c r="F5932" i="3"/>
  <c r="F5931" i="3"/>
  <c r="F5930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54" i="3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R249" i="1"/>
  <c r="I249" i="1"/>
  <c r="C249" i="1"/>
  <c r="I248" i="1" l="1"/>
  <c r="E248" i="1"/>
  <c r="E249" i="1" s="1"/>
  <c r="E250" i="1" s="1"/>
  <c r="C248" i="1"/>
  <c r="F5929" i="3"/>
  <c r="F5928" i="3"/>
  <c r="F5927" i="3"/>
  <c r="F5926" i="3"/>
  <c r="F5925" i="3"/>
  <c r="F5924" i="3"/>
  <c r="F5923" i="3"/>
  <c r="F5922" i="3"/>
  <c r="F5921" i="3"/>
  <c r="F5945" i="3" s="1"/>
  <c r="F5920" i="3"/>
  <c r="F5919" i="3"/>
  <c r="F5918" i="3"/>
  <c r="F5917" i="3"/>
  <c r="F5916" i="3"/>
  <c r="F5915" i="3"/>
  <c r="F5914" i="3"/>
  <c r="F5912" i="3"/>
  <c r="F5911" i="3"/>
  <c r="F5910" i="3"/>
  <c r="F5909" i="3"/>
  <c r="F5908" i="3"/>
  <c r="F5907" i="3"/>
  <c r="F5906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P247" i="1"/>
  <c r="L247" i="1"/>
  <c r="R248" i="1"/>
  <c r="I247" i="1" l="1"/>
  <c r="R247" i="1"/>
  <c r="P246" i="1"/>
  <c r="L246" i="1"/>
  <c r="F5905" i="3"/>
  <c r="F5904" i="3"/>
  <c r="F5903" i="3"/>
  <c r="F5902" i="3"/>
  <c r="F5901" i="3"/>
  <c r="F5900" i="3"/>
  <c r="F5899" i="3"/>
  <c r="F5898" i="3"/>
  <c r="F5897" i="3"/>
  <c r="F5895" i="3"/>
  <c r="F5894" i="3"/>
  <c r="F5893" i="3"/>
  <c r="F5892" i="3"/>
  <c r="F5891" i="3"/>
  <c r="F5890" i="3"/>
  <c r="F5888" i="3"/>
  <c r="F5887" i="3"/>
  <c r="F5886" i="3"/>
  <c r="F5885" i="3"/>
  <c r="F5884" i="3"/>
  <c r="F5883" i="3"/>
  <c r="F5882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C247" i="1"/>
  <c r="I246" i="1" l="1"/>
  <c r="R246" i="1"/>
  <c r="C246" i="1"/>
  <c r="F5881" i="3"/>
  <c r="F5880" i="3"/>
  <c r="F5879" i="3"/>
  <c r="F5878" i="3"/>
  <c r="F5877" i="3"/>
  <c r="F5876" i="3"/>
  <c r="F5875" i="3"/>
  <c r="F5874" i="3"/>
  <c r="F5873" i="3"/>
  <c r="F5871" i="3"/>
  <c r="F5870" i="3"/>
  <c r="F5869" i="3"/>
  <c r="F5868" i="3"/>
  <c r="F5867" i="3"/>
  <c r="F5866" i="3"/>
  <c r="F5864" i="3"/>
  <c r="F5863" i="3"/>
  <c r="F5862" i="3"/>
  <c r="F5861" i="3"/>
  <c r="F5860" i="3"/>
  <c r="F5859" i="3"/>
  <c r="D5881" i="3"/>
  <c r="D5880" i="3"/>
  <c r="D5879" i="3"/>
  <c r="D5878" i="3"/>
  <c r="D5877" i="3"/>
  <c r="D5876" i="3"/>
  <c r="D5875" i="3"/>
  <c r="D5874" i="3"/>
  <c r="D5873" i="3"/>
  <c r="D5872" i="3"/>
  <c r="D5871" i="3"/>
  <c r="D5870" i="3"/>
  <c r="D5869" i="3"/>
  <c r="D5868" i="3"/>
  <c r="D5867" i="3"/>
  <c r="D5866" i="3"/>
  <c r="D5865" i="3"/>
  <c r="D5864" i="3"/>
  <c r="D5863" i="3"/>
  <c r="D5862" i="3"/>
  <c r="D5861" i="3"/>
  <c r="D5860" i="3"/>
  <c r="D5859" i="3"/>
  <c r="D5858" i="3"/>
  <c r="R243" i="1"/>
  <c r="S243" i="1"/>
  <c r="P244" i="1"/>
  <c r="P245" i="1"/>
  <c r="L244" i="1"/>
  <c r="L245" i="1"/>
  <c r="F5857" i="3"/>
  <c r="F5856" i="3"/>
  <c r="F5855" i="3"/>
  <c r="F5854" i="3"/>
  <c r="F5853" i="3"/>
  <c r="F5852" i="3"/>
  <c r="F5851" i="3"/>
  <c r="F5850" i="3"/>
  <c r="F5849" i="3"/>
  <c r="F5847" i="3"/>
  <c r="F5846" i="3"/>
  <c r="F5845" i="3"/>
  <c r="F5844" i="3"/>
  <c r="F5843" i="3"/>
  <c r="F5842" i="3"/>
  <c r="F5840" i="3"/>
  <c r="F5839" i="3"/>
  <c r="F5838" i="3"/>
  <c r="F5837" i="3"/>
  <c r="F5836" i="3"/>
  <c r="F5835" i="3"/>
  <c r="F5834" i="3"/>
  <c r="F5858" i="3" s="1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I245" i="1"/>
  <c r="C245" i="1"/>
  <c r="E5833" i="3"/>
  <c r="F5833" i="3" s="1"/>
  <c r="E5830" i="3"/>
  <c r="E5826" i="3"/>
  <c r="E5825" i="3"/>
  <c r="E5822" i="3"/>
  <c r="E5821" i="3"/>
  <c r="F5821" i="3" s="1"/>
  <c r="E5820" i="3"/>
  <c r="E5819" i="3"/>
  <c r="E5815" i="3"/>
  <c r="E5814" i="3"/>
  <c r="E5813" i="3"/>
  <c r="E5811" i="3"/>
  <c r="F5811" i="3" s="1"/>
  <c r="E5810" i="3"/>
  <c r="E5832" i="3"/>
  <c r="E5831" i="3"/>
  <c r="E5829" i="3"/>
  <c r="F5826" i="3"/>
  <c r="F5822" i="3"/>
  <c r="F5819" i="3"/>
  <c r="E5817" i="3"/>
  <c r="F5813" i="3"/>
  <c r="I244" i="1"/>
  <c r="C244" i="1"/>
  <c r="E5546" i="3"/>
  <c r="F5832" i="3"/>
  <c r="F5831" i="3"/>
  <c r="F5830" i="3"/>
  <c r="F5829" i="3"/>
  <c r="F5828" i="3"/>
  <c r="F5827" i="3"/>
  <c r="F5825" i="3"/>
  <c r="F5824" i="3"/>
  <c r="F5848" i="3" s="1"/>
  <c r="F5872" i="3" s="1"/>
  <c r="F5896" i="3" s="1"/>
  <c r="F5823" i="3"/>
  <c r="F5820" i="3"/>
  <c r="F5818" i="3"/>
  <c r="F5816" i="3"/>
  <c r="F5815" i="3"/>
  <c r="F5814" i="3"/>
  <c r="F5812" i="3"/>
  <c r="F5809" i="3"/>
  <c r="F5808" i="3"/>
  <c r="F5807" i="3"/>
  <c r="F5806" i="3"/>
  <c r="F5805" i="3"/>
  <c r="F5804" i="3"/>
  <c r="F5803" i="3"/>
  <c r="F5802" i="3"/>
  <c r="F5801" i="3"/>
  <c r="F5800" i="3"/>
  <c r="F5799" i="3"/>
  <c r="F5798" i="3"/>
  <c r="F5797" i="3"/>
  <c r="F5796" i="3"/>
  <c r="F5795" i="3"/>
  <c r="F5794" i="3"/>
  <c r="F5792" i="3"/>
  <c r="F5791" i="3"/>
  <c r="F5790" i="3"/>
  <c r="F5789" i="3"/>
  <c r="F5788" i="3"/>
  <c r="F5787" i="3"/>
  <c r="F5785" i="3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93" i="3" s="1"/>
  <c r="F5817" i="3" s="1"/>
  <c r="F5841" i="3" s="1"/>
  <c r="F5865" i="3" s="1"/>
  <c r="F5889" i="3" s="1"/>
  <c r="F5913" i="3" s="1"/>
  <c r="F5937" i="3" s="1"/>
  <c r="F5768" i="3"/>
  <c r="F5767" i="3"/>
  <c r="F5766" i="3"/>
  <c r="F5765" i="3"/>
  <c r="F5764" i="3"/>
  <c r="F5763" i="3"/>
  <c r="F5761" i="3"/>
  <c r="F5760" i="3"/>
  <c r="F5759" i="3"/>
  <c r="F5758" i="3"/>
  <c r="F5757" i="3"/>
  <c r="F5756" i="3"/>
  <c r="F5755" i="3"/>
  <c r="F5754" i="3"/>
  <c r="F5753" i="3"/>
  <c r="F5752" i="3"/>
  <c r="F5751" i="3"/>
  <c r="F5750" i="3"/>
  <c r="F5749" i="3"/>
  <c r="F5748" i="3"/>
  <c r="F5747" i="3"/>
  <c r="F5746" i="3"/>
  <c r="F5745" i="3"/>
  <c r="F5744" i="3"/>
  <c r="F5743" i="3"/>
  <c r="F5742" i="3"/>
  <c r="F5741" i="3"/>
  <c r="F5740" i="3"/>
  <c r="F5739" i="3"/>
  <c r="F5737" i="3"/>
  <c r="F5736" i="3"/>
  <c r="F5735" i="3"/>
  <c r="F5734" i="3"/>
  <c r="F5733" i="3"/>
  <c r="F5732" i="3"/>
  <c r="F5731" i="3"/>
  <c r="F5730" i="3"/>
  <c r="F5729" i="3"/>
  <c r="F5728" i="3"/>
  <c r="F5727" i="3"/>
  <c r="F5726" i="3"/>
  <c r="F5725" i="3"/>
  <c r="F5724" i="3"/>
  <c r="F5723" i="3"/>
  <c r="F5722" i="3"/>
  <c r="F5721" i="3"/>
  <c r="F5720" i="3"/>
  <c r="F5719" i="3"/>
  <c r="F5718" i="3"/>
  <c r="F5717" i="3"/>
  <c r="F5716" i="3"/>
  <c r="F5715" i="3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5" i="3"/>
  <c r="F5694" i="3"/>
  <c r="F5693" i="3"/>
  <c r="F5692" i="3"/>
  <c r="F5691" i="3"/>
  <c r="F5689" i="3"/>
  <c r="F5688" i="3"/>
  <c r="F5687" i="3"/>
  <c r="F5686" i="3"/>
  <c r="F5685" i="3"/>
  <c r="F5684" i="3"/>
  <c r="F5683" i="3"/>
  <c r="F5682" i="3"/>
  <c r="F5681" i="3"/>
  <c r="F5680" i="3"/>
  <c r="F5679" i="3"/>
  <c r="F5678" i="3"/>
  <c r="F5677" i="3"/>
  <c r="F5676" i="3"/>
  <c r="F5675" i="3"/>
  <c r="F5674" i="3"/>
  <c r="F5673" i="3"/>
  <c r="F5672" i="3"/>
  <c r="F5671" i="3"/>
  <c r="F5670" i="3"/>
  <c r="F5669" i="3"/>
  <c r="F5668" i="3"/>
  <c r="F5667" i="3"/>
  <c r="F5665" i="3"/>
  <c r="F5664" i="3"/>
  <c r="F5663" i="3"/>
  <c r="F5662" i="3"/>
  <c r="F5661" i="3"/>
  <c r="F5660" i="3"/>
  <c r="F5659" i="3"/>
  <c r="F5658" i="3"/>
  <c r="F5657" i="3"/>
  <c r="F5656" i="3"/>
  <c r="F5655" i="3"/>
  <c r="F5654" i="3"/>
  <c r="F5653" i="3"/>
  <c r="F5652" i="3"/>
  <c r="F5651" i="3"/>
  <c r="F5650" i="3"/>
  <c r="F5649" i="3"/>
  <c r="F5648" i="3"/>
  <c r="F5647" i="3"/>
  <c r="F5646" i="3"/>
  <c r="F5645" i="3"/>
  <c r="F5644" i="3"/>
  <c r="F5643" i="3"/>
  <c r="F5641" i="3"/>
  <c r="F5640" i="3"/>
  <c r="F5639" i="3"/>
  <c r="F5638" i="3"/>
  <c r="F5637" i="3"/>
  <c r="F5636" i="3"/>
  <c r="F5635" i="3"/>
  <c r="F5634" i="3"/>
  <c r="F5633" i="3"/>
  <c r="F5632" i="3"/>
  <c r="F5631" i="3"/>
  <c r="F5630" i="3"/>
  <c r="F5629" i="3"/>
  <c r="F5628" i="3"/>
  <c r="F5627" i="3"/>
  <c r="F5626" i="3"/>
  <c r="F5625" i="3"/>
  <c r="F5624" i="3"/>
  <c r="F5623" i="3"/>
  <c r="F5622" i="3"/>
  <c r="F5621" i="3"/>
  <c r="F5620" i="3"/>
  <c r="F5619" i="3"/>
  <c r="F5617" i="3"/>
  <c r="F5616" i="3"/>
  <c r="F5615" i="3"/>
  <c r="F5614" i="3"/>
  <c r="F5613" i="3"/>
  <c r="F5612" i="3"/>
  <c r="F5611" i="3"/>
  <c r="F5610" i="3"/>
  <c r="F5609" i="3"/>
  <c r="F5608" i="3"/>
  <c r="F5607" i="3"/>
  <c r="F5606" i="3"/>
  <c r="F5605" i="3"/>
  <c r="F5604" i="3"/>
  <c r="F5603" i="3"/>
  <c r="F5602" i="3"/>
  <c r="F5601" i="3"/>
  <c r="F5600" i="3"/>
  <c r="F5599" i="3"/>
  <c r="F5598" i="3"/>
  <c r="F5597" i="3"/>
  <c r="F5596" i="3"/>
  <c r="F5595" i="3"/>
  <c r="F5593" i="3"/>
  <c r="F5592" i="3"/>
  <c r="F5591" i="3"/>
  <c r="F5590" i="3"/>
  <c r="F5589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F5573" i="3"/>
  <c r="F5572" i="3"/>
  <c r="F5571" i="3"/>
  <c r="F5570" i="3"/>
  <c r="F5594" i="3" s="1"/>
  <c r="F5618" i="3" s="1"/>
  <c r="F5642" i="3" s="1"/>
  <c r="F5666" i="3" s="1"/>
  <c r="F5690" i="3" s="1"/>
  <c r="F5714" i="3" s="1"/>
  <c r="F5738" i="3" s="1"/>
  <c r="F5762" i="3" s="1"/>
  <c r="F5786" i="3" s="1"/>
  <c r="F5810" i="3" s="1"/>
  <c r="F5569" i="3"/>
  <c r="F5568" i="3"/>
  <c r="F5567" i="3"/>
  <c r="F5566" i="3"/>
  <c r="F5565" i="3"/>
  <c r="F5564" i="3"/>
  <c r="F5563" i="3"/>
  <c r="F5562" i="3"/>
  <c r="F5561" i="3"/>
  <c r="F5560" i="3"/>
  <c r="F5559" i="3"/>
  <c r="F5558" i="3"/>
  <c r="F5557" i="3"/>
  <c r="F5556" i="3"/>
  <c r="F5555" i="3"/>
  <c r="F5554" i="3"/>
  <c r="F5553" i="3"/>
  <c r="F5552" i="3"/>
  <c r="F5551" i="3"/>
  <c r="F5550" i="3"/>
  <c r="F5549" i="3"/>
  <c r="F5548" i="3"/>
  <c r="F5547" i="3"/>
  <c r="F5546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P243" i="1"/>
  <c r="L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I243" i="1"/>
  <c r="C243" i="1"/>
  <c r="P242" i="1" l="1"/>
  <c r="L242" i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I242" i="1"/>
  <c r="E5718" i="3"/>
  <c r="C242" i="1"/>
  <c r="D5785" i="3" l="1"/>
  <c r="D5784" i="3"/>
  <c r="D5781" i="3"/>
  <c r="D5779" i="3"/>
  <c r="D5776" i="3"/>
  <c r="D5775" i="3"/>
  <c r="D5774" i="3"/>
  <c r="D5773" i="3"/>
  <c r="D5772" i="3"/>
  <c r="D5771" i="3"/>
  <c r="D5770" i="3"/>
  <c r="D5769" i="3"/>
  <c r="D5768" i="3"/>
  <c r="D5767" i="3"/>
  <c r="D5766" i="3"/>
  <c r="D5765" i="3"/>
  <c r="D5764" i="3"/>
  <c r="D5763" i="3"/>
  <c r="P241" i="1" l="1"/>
  <c r="L241" i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501" i="3"/>
  <c r="D5500" i="3"/>
  <c r="D5499" i="3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498" i="3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D5545" i="3"/>
  <c r="D5544" i="3"/>
  <c r="D5543" i="3"/>
  <c r="D5567" i="3" s="1"/>
  <c r="D5591" i="3" s="1"/>
  <c r="D5615" i="3" s="1"/>
  <c r="D5639" i="3" s="1"/>
  <c r="D5663" i="3" s="1"/>
  <c r="D5687" i="3" s="1"/>
  <c r="D5711" i="3" s="1"/>
  <c r="D5735" i="3" s="1"/>
  <c r="D5759" i="3" s="1"/>
  <c r="D5542" i="3"/>
  <c r="D5566" i="3" s="1"/>
  <c r="D5590" i="3" s="1"/>
  <c r="D5614" i="3" s="1"/>
  <c r="D5638" i="3" s="1"/>
  <c r="D5662" i="3" s="1"/>
  <c r="D5686" i="3" s="1"/>
  <c r="D5710" i="3" s="1"/>
  <c r="D5734" i="3" s="1"/>
  <c r="D5758" i="3" s="1"/>
  <c r="D5541" i="3"/>
  <c r="D5540" i="3"/>
  <c r="D5539" i="3"/>
  <c r="D5563" i="3" s="1"/>
  <c r="D5587" i="3" s="1"/>
  <c r="D5611" i="3" s="1"/>
  <c r="D5635" i="3" s="1"/>
  <c r="D5659" i="3" s="1"/>
  <c r="D5683" i="3" s="1"/>
  <c r="D5707" i="3" s="1"/>
  <c r="D5731" i="3" s="1"/>
  <c r="D5755" i="3" s="1"/>
  <c r="D5538" i="3"/>
  <c r="D5562" i="3" s="1"/>
  <c r="D5586" i="3" s="1"/>
  <c r="D5610" i="3" s="1"/>
  <c r="D5634" i="3" s="1"/>
  <c r="D5658" i="3" s="1"/>
  <c r="D5682" i="3" s="1"/>
  <c r="D5706" i="3" s="1"/>
  <c r="D5730" i="3" s="1"/>
  <c r="D5754" i="3" s="1"/>
  <c r="D5537" i="3"/>
  <c r="D5536" i="3"/>
  <c r="D5535" i="3"/>
  <c r="D5559" i="3" s="1"/>
  <c r="D5583" i="3" s="1"/>
  <c r="D5607" i="3" s="1"/>
  <c r="D5631" i="3" s="1"/>
  <c r="D5655" i="3" s="1"/>
  <c r="D5679" i="3" s="1"/>
  <c r="D5703" i="3" s="1"/>
  <c r="D5727" i="3" s="1"/>
  <c r="D5751" i="3" s="1"/>
  <c r="D5534" i="3"/>
  <c r="D5558" i="3" s="1"/>
  <c r="D5582" i="3" s="1"/>
  <c r="D5606" i="3" s="1"/>
  <c r="D5630" i="3" s="1"/>
  <c r="D5654" i="3" s="1"/>
  <c r="D5678" i="3" s="1"/>
  <c r="D5702" i="3" s="1"/>
  <c r="D5726" i="3" s="1"/>
  <c r="D5750" i="3" s="1"/>
  <c r="D5533" i="3"/>
  <c r="D5532" i="3"/>
  <c r="D5531" i="3"/>
  <c r="D5555" i="3" s="1"/>
  <c r="D5579" i="3" s="1"/>
  <c r="D5603" i="3" s="1"/>
  <c r="D5627" i="3" s="1"/>
  <c r="D5651" i="3" s="1"/>
  <c r="D5675" i="3" s="1"/>
  <c r="D5699" i="3" s="1"/>
  <c r="D5723" i="3" s="1"/>
  <c r="D5747" i="3" s="1"/>
  <c r="D5530" i="3"/>
  <c r="D5554" i="3" s="1"/>
  <c r="D5578" i="3" s="1"/>
  <c r="D5602" i="3" s="1"/>
  <c r="D5626" i="3" s="1"/>
  <c r="D5650" i="3" s="1"/>
  <c r="D5674" i="3" s="1"/>
  <c r="D5698" i="3" s="1"/>
  <c r="D5722" i="3" s="1"/>
  <c r="D5746" i="3" s="1"/>
  <c r="D5529" i="3"/>
  <c r="D5528" i="3"/>
  <c r="D5527" i="3"/>
  <c r="D5551" i="3" s="1"/>
  <c r="D5575" i="3" s="1"/>
  <c r="D5599" i="3" s="1"/>
  <c r="D5623" i="3" s="1"/>
  <c r="D5647" i="3" s="1"/>
  <c r="D5671" i="3" s="1"/>
  <c r="D5695" i="3" s="1"/>
  <c r="D5719" i="3" s="1"/>
  <c r="D5743" i="3" s="1"/>
  <c r="D5525" i="3"/>
  <c r="D5549" i="3" s="1"/>
  <c r="D5573" i="3" s="1"/>
  <c r="D5597" i="3" s="1"/>
  <c r="D5621" i="3" s="1"/>
  <c r="D5645" i="3" s="1"/>
  <c r="D5669" i="3" s="1"/>
  <c r="D5693" i="3" s="1"/>
  <c r="D5717" i="3" s="1"/>
  <c r="D5741" i="3" s="1"/>
  <c r="D5524" i="3"/>
  <c r="D5569" i="3"/>
  <c r="D5593" i="3" s="1"/>
  <c r="D5617" i="3" s="1"/>
  <c r="D5641" i="3" s="1"/>
  <c r="D5665" i="3" s="1"/>
  <c r="D5689" i="3" s="1"/>
  <c r="D5713" i="3" s="1"/>
  <c r="D5737" i="3" s="1"/>
  <c r="D5761" i="3" s="1"/>
  <c r="D5568" i="3"/>
  <c r="D5565" i="3"/>
  <c r="D5589" i="3" s="1"/>
  <c r="D5613" i="3" s="1"/>
  <c r="D5637" i="3" s="1"/>
  <c r="D5661" i="3" s="1"/>
  <c r="D5685" i="3" s="1"/>
  <c r="D5709" i="3" s="1"/>
  <c r="D5733" i="3" s="1"/>
  <c r="D5757" i="3" s="1"/>
  <c r="D5564" i="3"/>
  <c r="D5561" i="3"/>
  <c r="D5585" i="3" s="1"/>
  <c r="D5609" i="3" s="1"/>
  <c r="D5633" i="3" s="1"/>
  <c r="D5657" i="3" s="1"/>
  <c r="D5681" i="3" s="1"/>
  <c r="D5705" i="3" s="1"/>
  <c r="D5729" i="3" s="1"/>
  <c r="D5753" i="3" s="1"/>
  <c r="D5560" i="3"/>
  <c r="D5557" i="3"/>
  <c r="D5581" i="3" s="1"/>
  <c r="D5605" i="3" s="1"/>
  <c r="D5629" i="3" s="1"/>
  <c r="D5653" i="3" s="1"/>
  <c r="D5677" i="3" s="1"/>
  <c r="D5701" i="3" s="1"/>
  <c r="D5725" i="3" s="1"/>
  <c r="D5749" i="3" s="1"/>
  <c r="D5556" i="3"/>
  <c r="D5553" i="3"/>
  <c r="D5577" i="3" s="1"/>
  <c r="D5601" i="3" s="1"/>
  <c r="D5625" i="3" s="1"/>
  <c r="D5649" i="3" s="1"/>
  <c r="D5673" i="3" s="1"/>
  <c r="D5697" i="3" s="1"/>
  <c r="D5721" i="3" s="1"/>
  <c r="D5745" i="3" s="1"/>
  <c r="D5552" i="3"/>
  <c r="D5548" i="3"/>
  <c r="D5572" i="3" s="1"/>
  <c r="D5596" i="3" s="1"/>
  <c r="D5620" i="3" s="1"/>
  <c r="D5644" i="3" s="1"/>
  <c r="D5668" i="3" s="1"/>
  <c r="D5692" i="3" s="1"/>
  <c r="D5716" i="3" s="1"/>
  <c r="D5740" i="3" s="1"/>
  <c r="D5592" i="3"/>
  <c r="D5616" i="3" s="1"/>
  <c r="D5640" i="3" s="1"/>
  <c r="D5664" i="3" s="1"/>
  <c r="D5688" i="3" s="1"/>
  <c r="D5712" i="3" s="1"/>
  <c r="D5736" i="3" s="1"/>
  <c r="D5760" i="3" s="1"/>
  <c r="D5588" i="3"/>
  <c r="D5612" i="3" s="1"/>
  <c r="D5636" i="3" s="1"/>
  <c r="D5660" i="3" s="1"/>
  <c r="D5684" i="3" s="1"/>
  <c r="D5708" i="3" s="1"/>
  <c r="D5732" i="3" s="1"/>
  <c r="D5756" i="3" s="1"/>
  <c r="D5584" i="3"/>
  <c r="D5608" i="3" s="1"/>
  <c r="D5632" i="3" s="1"/>
  <c r="D5656" i="3" s="1"/>
  <c r="D5680" i="3" s="1"/>
  <c r="D5704" i="3" s="1"/>
  <c r="D5728" i="3" s="1"/>
  <c r="D5752" i="3" s="1"/>
  <c r="D5580" i="3"/>
  <c r="D5604" i="3" s="1"/>
  <c r="D5628" i="3" s="1"/>
  <c r="D5652" i="3" s="1"/>
  <c r="D5676" i="3" s="1"/>
  <c r="D5700" i="3" s="1"/>
  <c r="D5724" i="3" s="1"/>
  <c r="D5748" i="3" s="1"/>
  <c r="D5576" i="3"/>
  <c r="D5600" i="3" s="1"/>
  <c r="D5624" i="3" s="1"/>
  <c r="D5648" i="3" s="1"/>
  <c r="D5672" i="3" s="1"/>
  <c r="D5696" i="3" s="1"/>
  <c r="D5720" i="3" s="1"/>
  <c r="D5744" i="3" s="1"/>
  <c r="I241" i="1"/>
  <c r="E5714" i="3"/>
  <c r="C241" i="1"/>
  <c r="P240" i="1"/>
  <c r="L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P239" i="1"/>
  <c r="L239" i="1"/>
  <c r="C240" i="1"/>
  <c r="I239" i="1"/>
  <c r="E5671" i="3"/>
  <c r="C239" i="1"/>
  <c r="L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I238" i="1"/>
  <c r="P236" i="1"/>
  <c r="P237" i="1"/>
  <c r="L236" i="1"/>
  <c r="L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I237" i="1"/>
  <c r="C237" i="1"/>
  <c r="C238" i="1" s="1"/>
  <c r="E5641" i="3"/>
  <c r="E5640" i="3"/>
  <c r="E5638" i="3"/>
  <c r="E5637" i="3"/>
  <c r="E5634" i="3"/>
  <c r="E5633" i="3"/>
  <c r="E5632" i="3"/>
  <c r="E5630" i="3"/>
  <c r="E5627" i="3"/>
  <c r="E5625" i="3"/>
  <c r="E5624" i="3"/>
  <c r="E5623" i="3"/>
  <c r="E5622" i="3"/>
  <c r="E5621" i="3"/>
  <c r="E5619" i="3"/>
  <c r="E5614" i="3"/>
  <c r="E5618" i="3"/>
  <c r="E5629" i="3"/>
  <c r="E5628" i="3"/>
  <c r="I236" i="1"/>
  <c r="C236" i="1"/>
  <c r="P238" i="1" l="1"/>
  <c r="P235" i="1"/>
  <c r="L235" i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E5608" i="3"/>
  <c r="E5604" i="3"/>
  <c r="L234" i="1"/>
  <c r="I235" i="1"/>
  <c r="C235" i="1"/>
  <c r="P234" i="1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" i="18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4" i="17"/>
  <c r="J233" i="17"/>
  <c r="Q233" i="17"/>
  <c r="R234" i="17"/>
  <c r="I234" i="17"/>
  <c r="E234" i="17"/>
  <c r="T234" i="17" s="1"/>
  <c r="C234" i="17"/>
  <c r="S234" i="17" s="1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" i="18"/>
  <c r="E5593" i="3"/>
  <c r="E5591" i="3"/>
  <c r="E5590" i="3"/>
  <c r="E5589" i="3"/>
  <c r="E5586" i="3"/>
  <c r="E5585" i="3"/>
  <c r="E5584" i="3"/>
  <c r="E5582" i="3"/>
  <c r="E5579" i="3"/>
  <c r="E5577" i="3"/>
  <c r="E5575" i="3"/>
  <c r="E5573" i="3"/>
  <c r="E5571" i="3"/>
  <c r="E5570" i="3"/>
  <c r="E5592" i="3"/>
  <c r="E5581" i="3"/>
  <c r="E5580" i="3"/>
  <c r="E5574" i="3"/>
  <c r="I234" i="1"/>
  <c r="C234" i="1"/>
  <c r="P233" i="1"/>
  <c r="S232" i="17" l="1"/>
  <c r="R233" i="17"/>
  <c r="R232" i="17"/>
  <c r="R231" i="17"/>
  <c r="M231" i="17"/>
  <c r="R230" i="17"/>
  <c r="M230" i="17"/>
  <c r="R229" i="17"/>
  <c r="M229" i="17"/>
  <c r="R228" i="17"/>
  <c r="M228" i="17"/>
  <c r="R227" i="17"/>
  <c r="M227" i="17"/>
  <c r="R226" i="17"/>
  <c r="M226" i="17"/>
  <c r="R225" i="17"/>
  <c r="M225" i="17"/>
  <c r="I225" i="17"/>
  <c r="I226" i="17" s="1"/>
  <c r="I227" i="17" s="1"/>
  <c r="I228" i="17" s="1"/>
  <c r="I229" i="17" s="1"/>
  <c r="I230" i="17" s="1"/>
  <c r="I231" i="17" s="1"/>
  <c r="R224" i="17"/>
  <c r="M224" i="17"/>
  <c r="R223" i="17"/>
  <c r="M223" i="17"/>
  <c r="R222" i="17"/>
  <c r="M222" i="17"/>
  <c r="R221" i="17"/>
  <c r="M221" i="17"/>
  <c r="R220" i="17"/>
  <c r="M220" i="17"/>
  <c r="R219" i="17"/>
  <c r="M219" i="17"/>
  <c r="R218" i="17"/>
  <c r="M218" i="17"/>
  <c r="R217" i="17"/>
  <c r="M217" i="17"/>
  <c r="R216" i="17"/>
  <c r="M216" i="17"/>
  <c r="R215" i="17"/>
  <c r="M215" i="17"/>
  <c r="R214" i="17"/>
  <c r="M214" i="17"/>
  <c r="R213" i="17"/>
  <c r="M213" i="17"/>
  <c r="R212" i="17"/>
  <c r="M212" i="17"/>
  <c r="R211" i="17"/>
  <c r="M211" i="17"/>
  <c r="R210" i="17"/>
  <c r="M210" i="17"/>
  <c r="R209" i="17"/>
  <c r="M209" i="17"/>
  <c r="R208" i="17"/>
  <c r="M208" i="17"/>
  <c r="R207" i="17"/>
  <c r="M207" i="17"/>
  <c r="R206" i="17"/>
  <c r="M206" i="17"/>
  <c r="R205" i="17"/>
  <c r="M205" i="17"/>
  <c r="R204" i="17"/>
  <c r="M204" i="17"/>
  <c r="I204" i="17"/>
  <c r="I205" i="17" s="1"/>
  <c r="I206" i="17" s="1"/>
  <c r="I207" i="17" s="1"/>
  <c r="I208" i="17" s="1"/>
  <c r="I209" i="17" s="1"/>
  <c r="I210" i="17" s="1"/>
  <c r="I211" i="17" s="1"/>
  <c r="I212" i="17" s="1"/>
  <c r="I213" i="17" s="1"/>
  <c r="I214" i="17" s="1"/>
  <c r="I215" i="17" s="1"/>
  <c r="I216" i="17" s="1"/>
  <c r="I217" i="17" s="1"/>
  <c r="I218" i="17" s="1"/>
  <c r="I219" i="17" s="1"/>
  <c r="I220" i="17" s="1"/>
  <c r="I221" i="17" s="1"/>
  <c r="I222" i="17" s="1"/>
  <c r="I223" i="17" s="1"/>
  <c r="R203" i="17"/>
  <c r="M203" i="17"/>
  <c r="D203" i="17"/>
  <c r="R202" i="17"/>
  <c r="L202" i="17"/>
  <c r="K202" i="17"/>
  <c r="D202" i="17"/>
  <c r="R201" i="17"/>
  <c r="L201" i="17"/>
  <c r="K201" i="17" s="1"/>
  <c r="D201" i="17"/>
  <c r="R200" i="17"/>
  <c r="L200" i="17"/>
  <c r="K200" i="17" s="1"/>
  <c r="R199" i="17"/>
  <c r="L199" i="17"/>
  <c r="K199" i="17"/>
  <c r="D199" i="17"/>
  <c r="R198" i="17"/>
  <c r="L198" i="17"/>
  <c r="K198" i="17"/>
  <c r="D198" i="17"/>
  <c r="R197" i="17"/>
  <c r="L197" i="17"/>
  <c r="K197" i="17"/>
  <c r="D197" i="17"/>
  <c r="R196" i="17"/>
  <c r="L196" i="17"/>
  <c r="K196" i="17"/>
  <c r="D196" i="17"/>
  <c r="R195" i="17"/>
  <c r="L195" i="17"/>
  <c r="K195" i="17"/>
  <c r="D195" i="17"/>
  <c r="R194" i="17"/>
  <c r="L194" i="17"/>
  <c r="K194" i="17"/>
  <c r="D194" i="17"/>
  <c r="R193" i="17"/>
  <c r="L193" i="17"/>
  <c r="K193" i="17"/>
  <c r="D193" i="17"/>
  <c r="R192" i="17"/>
  <c r="L192" i="17"/>
  <c r="K192" i="17"/>
  <c r="D192" i="17"/>
  <c r="R191" i="17"/>
  <c r="L191" i="17"/>
  <c r="K191" i="17"/>
  <c r="D191" i="17"/>
  <c r="R190" i="17"/>
  <c r="L190" i="17"/>
  <c r="K190" i="17"/>
  <c r="D190" i="17"/>
  <c r="R189" i="17"/>
  <c r="L189" i="17"/>
  <c r="K189" i="17"/>
  <c r="D189" i="17"/>
  <c r="R188" i="17"/>
  <c r="L188" i="17"/>
  <c r="K188" i="17"/>
  <c r="D188" i="17"/>
  <c r="R187" i="17"/>
  <c r="L187" i="17"/>
  <c r="K187" i="17"/>
  <c r="D187" i="17"/>
  <c r="R186" i="17"/>
  <c r="L186" i="17"/>
  <c r="K186" i="17"/>
  <c r="D186" i="17"/>
  <c r="R185" i="17"/>
  <c r="L185" i="17"/>
  <c r="K185" i="17"/>
  <c r="D185" i="17"/>
  <c r="R184" i="17"/>
  <c r="L184" i="17"/>
  <c r="K184" i="17"/>
  <c r="D184" i="17"/>
  <c r="R183" i="17"/>
  <c r="L183" i="17"/>
  <c r="K183" i="17"/>
  <c r="D183" i="17"/>
  <c r="R182" i="17"/>
  <c r="L182" i="17"/>
  <c r="K182" i="17"/>
  <c r="D182" i="17"/>
  <c r="R181" i="17"/>
  <c r="L181" i="17"/>
  <c r="K181" i="17"/>
  <c r="D181" i="17"/>
  <c r="R180" i="17"/>
  <c r="L180" i="17"/>
  <c r="K180" i="17"/>
  <c r="D180" i="17"/>
  <c r="R179" i="17"/>
  <c r="L179" i="17"/>
  <c r="K179" i="17"/>
  <c r="D179" i="17"/>
  <c r="R178" i="17"/>
  <c r="L178" i="17"/>
  <c r="K178" i="17"/>
  <c r="D178" i="17"/>
  <c r="R177" i="17"/>
  <c r="L177" i="17"/>
  <c r="K177" i="17"/>
  <c r="D177" i="17"/>
  <c r="R176" i="17"/>
  <c r="L176" i="17"/>
  <c r="K176" i="17"/>
  <c r="D176" i="17"/>
  <c r="R175" i="17"/>
  <c r="L175" i="17"/>
  <c r="K175" i="17"/>
  <c r="D175" i="17"/>
  <c r="R174" i="17"/>
  <c r="L174" i="17"/>
  <c r="K174" i="17" s="1"/>
  <c r="R173" i="17"/>
  <c r="L173" i="17"/>
  <c r="K173" i="17"/>
  <c r="D173" i="17"/>
  <c r="R172" i="17"/>
  <c r="L172" i="17"/>
  <c r="K172" i="17" s="1"/>
  <c r="D172" i="17"/>
  <c r="R171" i="17"/>
  <c r="L171" i="17"/>
  <c r="K171" i="17"/>
  <c r="D171" i="17"/>
  <c r="R170" i="17"/>
  <c r="Q170" i="17"/>
  <c r="L170" i="17"/>
  <c r="K170" i="17" s="1"/>
  <c r="D170" i="17"/>
  <c r="R169" i="17"/>
  <c r="Q169" i="17"/>
  <c r="L169" i="17"/>
  <c r="K169" i="17"/>
  <c r="I169" i="17"/>
  <c r="I170" i="17" s="1"/>
  <c r="I171" i="17" s="1"/>
  <c r="I172" i="17" s="1"/>
  <c r="I173" i="17" s="1"/>
  <c r="I174" i="17" s="1"/>
  <c r="I175" i="17" s="1"/>
  <c r="I176" i="17" s="1"/>
  <c r="I177" i="17" s="1"/>
  <c r="I178" i="17" s="1"/>
  <c r="I179" i="17" s="1"/>
  <c r="I180" i="17" s="1"/>
  <c r="I181" i="17" s="1"/>
  <c r="I182" i="17" s="1"/>
  <c r="I183" i="17" s="1"/>
  <c r="I184" i="17" s="1"/>
  <c r="I185" i="17" s="1"/>
  <c r="I186" i="17" s="1"/>
  <c r="I187" i="17" s="1"/>
  <c r="I188" i="17" s="1"/>
  <c r="I189" i="17" s="1"/>
  <c r="I190" i="17" s="1"/>
  <c r="I191" i="17" s="1"/>
  <c r="I192" i="17" s="1"/>
  <c r="I193" i="17" s="1"/>
  <c r="I194" i="17" s="1"/>
  <c r="I195" i="17" s="1"/>
  <c r="I196" i="17" s="1"/>
  <c r="I197" i="17" s="1"/>
  <c r="I198" i="17" s="1"/>
  <c r="I199" i="17" s="1"/>
  <c r="I200" i="17" s="1"/>
  <c r="I201" i="17" s="1"/>
  <c r="I202" i="17" s="1"/>
  <c r="D169" i="17"/>
  <c r="R168" i="17"/>
  <c r="Q168" i="17"/>
  <c r="L168" i="17"/>
  <c r="K168" i="17" s="1"/>
  <c r="D168" i="17"/>
  <c r="R167" i="17"/>
  <c r="Q167" i="17"/>
  <c r="L167" i="17"/>
  <c r="K167" i="17" s="1"/>
  <c r="I167" i="17"/>
  <c r="D167" i="17"/>
  <c r="Q166" i="17"/>
  <c r="L166" i="17"/>
  <c r="K166" i="17"/>
  <c r="D166" i="17"/>
  <c r="Q165" i="17"/>
  <c r="L165" i="17"/>
  <c r="K165" i="17" s="1"/>
  <c r="D165" i="17"/>
  <c r="Q164" i="17"/>
  <c r="L164" i="17"/>
  <c r="K164" i="17" s="1"/>
  <c r="D164" i="17"/>
  <c r="R163" i="17"/>
  <c r="Q163" i="17"/>
  <c r="L163" i="17"/>
  <c r="K163" i="17"/>
  <c r="I163" i="17"/>
  <c r="D163" i="17"/>
  <c r="Q162" i="17"/>
  <c r="L162" i="17"/>
  <c r="K162" i="17" s="1"/>
  <c r="D162" i="17"/>
  <c r="Q161" i="17"/>
  <c r="L161" i="17"/>
  <c r="K161" i="17" s="1"/>
  <c r="Q160" i="17"/>
  <c r="L160" i="17"/>
  <c r="K160" i="17" s="1"/>
  <c r="Q159" i="17"/>
  <c r="L159" i="17"/>
  <c r="K159" i="17" s="1"/>
  <c r="I159" i="17"/>
  <c r="R158" i="17"/>
  <c r="Q158" i="17"/>
  <c r="L158" i="17"/>
  <c r="K158" i="17"/>
  <c r="R157" i="17"/>
  <c r="Q157" i="17"/>
  <c r="L157" i="17"/>
  <c r="K157" i="17"/>
  <c r="I157" i="17"/>
  <c r="D157" i="17"/>
  <c r="Q156" i="17"/>
  <c r="L156" i="17"/>
  <c r="K156" i="17" s="1"/>
  <c r="I156" i="17"/>
  <c r="D156" i="17"/>
  <c r="R155" i="17"/>
  <c r="Q155" i="17"/>
  <c r="L155" i="17"/>
  <c r="K155" i="17"/>
  <c r="E155" i="17"/>
  <c r="R154" i="17"/>
  <c r="Q154" i="17"/>
  <c r="L154" i="17"/>
  <c r="K154" i="17"/>
  <c r="E154" i="17"/>
  <c r="D154" i="17"/>
  <c r="Q153" i="17"/>
  <c r="L153" i="17"/>
  <c r="K153" i="17"/>
  <c r="D153" i="17"/>
  <c r="Q152" i="17"/>
  <c r="L152" i="17"/>
  <c r="K152" i="17"/>
  <c r="I152" i="17"/>
  <c r="D152" i="17"/>
  <c r="Q151" i="17"/>
  <c r="L151" i="17"/>
  <c r="K151" i="17" s="1"/>
  <c r="D151" i="17"/>
  <c r="R150" i="17"/>
  <c r="Q150" i="17"/>
  <c r="L150" i="17"/>
  <c r="K150" i="17"/>
  <c r="E150" i="17"/>
  <c r="R149" i="17"/>
  <c r="Q149" i="17"/>
  <c r="L149" i="17"/>
  <c r="K149" i="17"/>
  <c r="D149" i="17"/>
  <c r="R148" i="17"/>
  <c r="Q148" i="17"/>
  <c r="L148" i="17"/>
  <c r="I148" i="17"/>
  <c r="D148" i="17"/>
  <c r="Q147" i="17"/>
  <c r="L147" i="17"/>
  <c r="K147" i="17"/>
  <c r="Q146" i="17"/>
  <c r="L146" i="17"/>
  <c r="K146" i="17"/>
  <c r="Q145" i="17"/>
  <c r="I145" i="17"/>
  <c r="D145" i="17"/>
  <c r="Q144" i="17"/>
  <c r="D144" i="17"/>
  <c r="R143" i="17"/>
  <c r="Q143" i="17"/>
  <c r="I143" i="17"/>
  <c r="C143" i="17"/>
  <c r="E142" i="17"/>
  <c r="C142" i="17"/>
  <c r="S141" i="17"/>
  <c r="R141" i="17"/>
  <c r="Q141" i="17"/>
  <c r="E141" i="17"/>
  <c r="T141" i="17" s="1"/>
  <c r="Q140" i="17"/>
  <c r="T139" i="17"/>
  <c r="L139" i="17"/>
  <c r="C139" i="17"/>
  <c r="B139" i="17"/>
  <c r="R166" i="17" s="1"/>
  <c r="R138" i="17"/>
  <c r="Q138" i="17"/>
  <c r="C138" i="17"/>
  <c r="T138" i="17" s="1"/>
  <c r="T137" i="17"/>
  <c r="S137" i="17"/>
  <c r="R137" i="17"/>
  <c r="Q137" i="17"/>
  <c r="L137" i="17"/>
  <c r="K137" i="17"/>
  <c r="R136" i="17"/>
  <c r="L136" i="17"/>
  <c r="C136" i="17"/>
  <c r="T136" i="17" s="1"/>
  <c r="T135" i="17"/>
  <c r="S135" i="17"/>
  <c r="R135" i="17"/>
  <c r="Q135" i="17"/>
  <c r="L135" i="17"/>
  <c r="T134" i="17"/>
  <c r="S134" i="17"/>
  <c r="R134" i="17"/>
  <c r="Q134" i="17"/>
  <c r="L134" i="17"/>
  <c r="T133" i="17"/>
  <c r="S133" i="17"/>
  <c r="R133" i="17"/>
  <c r="Q133" i="17"/>
  <c r="M133" i="17"/>
  <c r="T132" i="17"/>
  <c r="S132" i="17"/>
  <c r="R132" i="17"/>
  <c r="M132" i="17"/>
  <c r="T131" i="17"/>
  <c r="S131" i="17"/>
  <c r="R131" i="17"/>
  <c r="M131" i="17"/>
  <c r="T130" i="17"/>
  <c r="S130" i="17"/>
  <c r="R130" i="17"/>
  <c r="Q130" i="17"/>
  <c r="T129" i="17"/>
  <c r="S129" i="17"/>
  <c r="R129" i="17"/>
  <c r="Q129" i="17"/>
  <c r="T128" i="17"/>
  <c r="S128" i="17"/>
  <c r="R128" i="17"/>
  <c r="Q128" i="17"/>
  <c r="T127" i="17"/>
  <c r="S127" i="17"/>
  <c r="R127" i="17"/>
  <c r="Q127" i="17"/>
  <c r="L127" i="17"/>
  <c r="R126" i="17"/>
  <c r="Q126" i="17"/>
  <c r="R125" i="17"/>
  <c r="R124" i="17"/>
  <c r="M124" i="17"/>
  <c r="R123" i="17"/>
  <c r="L123" i="17"/>
  <c r="K123" i="17" s="1"/>
  <c r="C123" i="17"/>
  <c r="S123" i="17" s="1"/>
  <c r="R122" i="17"/>
  <c r="Q122" i="17"/>
  <c r="E122" i="17"/>
  <c r="E123" i="17" s="1"/>
  <c r="E124" i="17" s="1"/>
  <c r="E125" i="17" s="1"/>
  <c r="C122" i="17"/>
  <c r="S122" i="17" s="1"/>
  <c r="T121" i="17"/>
  <c r="S121" i="17"/>
  <c r="R121" i="17"/>
  <c r="Q121" i="17"/>
  <c r="L121" i="17"/>
  <c r="R120" i="17"/>
  <c r="L120" i="17"/>
  <c r="R119" i="17"/>
  <c r="E119" i="17"/>
  <c r="T119" i="17" s="1"/>
  <c r="C119" i="17"/>
  <c r="S119" i="17" s="1"/>
  <c r="T118" i="17"/>
  <c r="S118" i="17"/>
  <c r="R118" i="17"/>
  <c r="Q118" i="17"/>
  <c r="T117" i="17"/>
  <c r="S117" i="17"/>
  <c r="R117" i="17"/>
  <c r="Q117" i="17"/>
  <c r="T116" i="17"/>
  <c r="S116" i="17"/>
  <c r="R116" i="17"/>
  <c r="Q116" i="17"/>
  <c r="T115" i="17"/>
  <c r="S115" i="17"/>
  <c r="R115" i="17"/>
  <c r="Q115" i="17"/>
  <c r="R114" i="17"/>
  <c r="Q114" i="17"/>
  <c r="C114" i="17"/>
  <c r="S113" i="17"/>
  <c r="R113" i="17"/>
  <c r="Q113" i="17"/>
  <c r="E113" i="17"/>
  <c r="T113" i="17" s="1"/>
  <c r="T112" i="17"/>
  <c r="S112" i="17"/>
  <c r="R112" i="17"/>
  <c r="Q112" i="17"/>
  <c r="T111" i="17"/>
  <c r="S111" i="17"/>
  <c r="R111" i="17"/>
  <c r="Q111" i="17"/>
  <c r="T110" i="17"/>
  <c r="S110" i="17"/>
  <c r="R110" i="17"/>
  <c r="Q110" i="17"/>
  <c r="T109" i="17"/>
  <c r="S109" i="17"/>
  <c r="R109" i="17"/>
  <c r="Q109" i="17"/>
  <c r="T108" i="17"/>
  <c r="S108" i="17"/>
  <c r="R108" i="17"/>
  <c r="Q108" i="17"/>
  <c r="T107" i="17"/>
  <c r="S107" i="17"/>
  <c r="R107" i="17"/>
  <c r="Q107" i="17"/>
  <c r="T106" i="17"/>
  <c r="S106" i="17"/>
  <c r="R106" i="17"/>
  <c r="Q106" i="17"/>
  <c r="T105" i="17"/>
  <c r="S105" i="17"/>
  <c r="R105" i="17"/>
  <c r="Q105" i="17"/>
  <c r="T104" i="17"/>
  <c r="S104" i="17"/>
  <c r="R104" i="17"/>
  <c r="Q104" i="17"/>
  <c r="T103" i="17"/>
  <c r="S103" i="17"/>
  <c r="R103" i="17"/>
  <c r="Q103" i="17"/>
  <c r="T102" i="17"/>
  <c r="S102" i="17"/>
  <c r="R102" i="17"/>
  <c r="Q102" i="17"/>
  <c r="T101" i="17"/>
  <c r="S101" i="17"/>
  <c r="R101" i="17"/>
  <c r="Q101" i="17"/>
  <c r="T100" i="17"/>
  <c r="S100" i="17"/>
  <c r="R100" i="17"/>
  <c r="Q100" i="17"/>
  <c r="T99" i="17"/>
  <c r="S99" i="17"/>
  <c r="R99" i="17"/>
  <c r="Q99" i="17"/>
  <c r="T98" i="17"/>
  <c r="S98" i="17"/>
  <c r="R98" i="17"/>
  <c r="Q98" i="17"/>
  <c r="T97" i="17"/>
  <c r="S97" i="17"/>
  <c r="R97" i="17"/>
  <c r="Q97" i="17"/>
  <c r="T96" i="17"/>
  <c r="S96" i="17"/>
  <c r="R96" i="17"/>
  <c r="Q96" i="17"/>
  <c r="T95" i="17"/>
  <c r="S95" i="17"/>
  <c r="R95" i="17"/>
  <c r="Q95" i="17"/>
  <c r="T94" i="17"/>
  <c r="S94" i="17"/>
  <c r="R94" i="17"/>
  <c r="Q94" i="17"/>
  <c r="T93" i="17"/>
  <c r="S93" i="17"/>
  <c r="R93" i="17"/>
  <c r="Q93" i="17"/>
  <c r="T92" i="17"/>
  <c r="S92" i="17"/>
  <c r="R92" i="17"/>
  <c r="Q92" i="17"/>
  <c r="T91" i="17"/>
  <c r="S91" i="17"/>
  <c r="R91" i="17"/>
  <c r="Q91" i="17"/>
  <c r="T90" i="17"/>
  <c r="S90" i="17"/>
  <c r="R90" i="17"/>
  <c r="Q90" i="17"/>
  <c r="T89" i="17"/>
  <c r="S89" i="17"/>
  <c r="R89" i="17"/>
  <c r="Q89" i="17"/>
  <c r="T88" i="17"/>
  <c r="S88" i="17"/>
  <c r="R88" i="17"/>
  <c r="Q88" i="17"/>
  <c r="T87" i="17"/>
  <c r="S87" i="17"/>
  <c r="R87" i="17"/>
  <c r="Q87" i="17"/>
  <c r="T86" i="17"/>
  <c r="S86" i="17"/>
  <c r="R86" i="17"/>
  <c r="Q86" i="17"/>
  <c r="T85" i="17"/>
  <c r="S85" i="17"/>
  <c r="R85" i="17"/>
  <c r="Q85" i="17"/>
  <c r="T84" i="17"/>
  <c r="S84" i="17"/>
  <c r="R84" i="17"/>
  <c r="Q84" i="17"/>
  <c r="T83" i="17"/>
  <c r="S83" i="17"/>
  <c r="R83" i="17"/>
  <c r="Q83" i="17"/>
  <c r="T82" i="17"/>
  <c r="S82" i="17"/>
  <c r="R82" i="17"/>
  <c r="Q82" i="17"/>
  <c r="T81" i="17"/>
  <c r="S81" i="17"/>
  <c r="R81" i="17"/>
  <c r="Q81" i="17"/>
  <c r="T80" i="17"/>
  <c r="S80" i="17"/>
  <c r="R80" i="17"/>
  <c r="Q80" i="17"/>
  <c r="T79" i="17"/>
  <c r="S79" i="17"/>
  <c r="R79" i="17"/>
  <c r="Q79" i="17"/>
  <c r="T78" i="17"/>
  <c r="S78" i="17"/>
  <c r="R78" i="17"/>
  <c r="Q78" i="17"/>
  <c r="T77" i="17"/>
  <c r="S77" i="17"/>
  <c r="R77" i="17"/>
  <c r="Q77" i="17"/>
  <c r="T76" i="17"/>
  <c r="S76" i="17"/>
  <c r="R76" i="17"/>
  <c r="Q76" i="17"/>
  <c r="T75" i="17"/>
  <c r="S75" i="17"/>
  <c r="R75" i="17"/>
  <c r="Q75" i="17"/>
  <c r="T74" i="17"/>
  <c r="S74" i="17"/>
  <c r="R74" i="17"/>
  <c r="Q74" i="17"/>
  <c r="T73" i="17"/>
  <c r="S73" i="17"/>
  <c r="R73" i="17"/>
  <c r="Q73" i="17"/>
  <c r="T72" i="17"/>
  <c r="S72" i="17"/>
  <c r="R72" i="17"/>
  <c r="Q72" i="17"/>
  <c r="T71" i="17"/>
  <c r="S71" i="17"/>
  <c r="R71" i="17"/>
  <c r="Q71" i="17"/>
  <c r="T70" i="17"/>
  <c r="S70" i="17"/>
  <c r="R70" i="17"/>
  <c r="Q70" i="17"/>
  <c r="T69" i="17"/>
  <c r="S69" i="17"/>
  <c r="R69" i="17"/>
  <c r="Q69" i="17"/>
  <c r="T68" i="17"/>
  <c r="S68" i="17"/>
  <c r="R68" i="17"/>
  <c r="Q68" i="17"/>
  <c r="T67" i="17"/>
  <c r="S67" i="17"/>
  <c r="R67" i="17"/>
  <c r="Q67" i="17"/>
  <c r="T66" i="17"/>
  <c r="S66" i="17"/>
  <c r="R66" i="17"/>
  <c r="Q66" i="17"/>
  <c r="T65" i="17"/>
  <c r="S65" i="17"/>
  <c r="R65" i="17"/>
  <c r="Q65" i="17"/>
  <c r="T64" i="17"/>
  <c r="S64" i="17"/>
  <c r="R64" i="17"/>
  <c r="Q64" i="17"/>
  <c r="T63" i="17"/>
  <c r="S63" i="17"/>
  <c r="R63" i="17"/>
  <c r="Q63" i="17"/>
  <c r="T62" i="17"/>
  <c r="S62" i="17"/>
  <c r="R62" i="17"/>
  <c r="Q62" i="17"/>
  <c r="T61" i="17"/>
  <c r="S61" i="17"/>
  <c r="R61" i="17"/>
  <c r="Q61" i="17"/>
  <c r="T60" i="17"/>
  <c r="S60" i="17"/>
  <c r="R60" i="17"/>
  <c r="Q60" i="17"/>
  <c r="T59" i="17"/>
  <c r="S59" i="17"/>
  <c r="R59" i="17"/>
  <c r="Q59" i="17"/>
  <c r="T58" i="17"/>
  <c r="S58" i="17"/>
  <c r="R58" i="17"/>
  <c r="Q58" i="17"/>
  <c r="T57" i="17"/>
  <c r="S57" i="17"/>
  <c r="R57" i="17"/>
  <c r="Q57" i="17"/>
  <c r="T56" i="17"/>
  <c r="S56" i="17"/>
  <c r="R56" i="17"/>
  <c r="Q56" i="17"/>
  <c r="T55" i="17"/>
  <c r="S55" i="17"/>
  <c r="R55" i="17"/>
  <c r="Q55" i="17"/>
  <c r="T54" i="17"/>
  <c r="S54" i="17"/>
  <c r="R54" i="17"/>
  <c r="Q54" i="17"/>
  <c r="T53" i="17"/>
  <c r="S53" i="17"/>
  <c r="R53" i="17"/>
  <c r="Q53" i="17"/>
  <c r="T52" i="17"/>
  <c r="S52" i="17"/>
  <c r="R52" i="17"/>
  <c r="Q52" i="17"/>
  <c r="T51" i="17"/>
  <c r="S51" i="17"/>
  <c r="R51" i="17"/>
  <c r="Q51" i="17"/>
  <c r="T50" i="17"/>
  <c r="S50" i="17"/>
  <c r="R50" i="17"/>
  <c r="Q50" i="17"/>
  <c r="T49" i="17"/>
  <c r="S49" i="17"/>
  <c r="R49" i="17"/>
  <c r="Q49" i="17"/>
  <c r="T48" i="17"/>
  <c r="S48" i="17"/>
  <c r="R48" i="17"/>
  <c r="Q48" i="17"/>
  <c r="T47" i="17"/>
  <c r="S47" i="17"/>
  <c r="R47" i="17"/>
  <c r="Q47" i="17"/>
  <c r="T46" i="17"/>
  <c r="S46" i="17"/>
  <c r="R46" i="17"/>
  <c r="Q46" i="17"/>
  <c r="T45" i="17"/>
  <c r="S45" i="17"/>
  <c r="R45" i="17"/>
  <c r="Q45" i="17"/>
  <c r="T44" i="17"/>
  <c r="S44" i="17"/>
  <c r="R44" i="17"/>
  <c r="Q44" i="17"/>
  <c r="T43" i="17"/>
  <c r="S43" i="17"/>
  <c r="R43" i="17"/>
  <c r="Q43" i="17"/>
  <c r="T42" i="17"/>
  <c r="S42" i="17"/>
  <c r="R42" i="17"/>
  <c r="Q42" i="17"/>
  <c r="T41" i="17"/>
  <c r="S41" i="17"/>
  <c r="R41" i="17"/>
  <c r="Q41" i="17"/>
  <c r="T40" i="17"/>
  <c r="S40" i="17"/>
  <c r="R40" i="17"/>
  <c r="Q40" i="17"/>
  <c r="T39" i="17"/>
  <c r="S39" i="17"/>
  <c r="R39" i="17"/>
  <c r="Q39" i="17"/>
  <c r="T38" i="17"/>
  <c r="S38" i="17"/>
  <c r="R38" i="17"/>
  <c r="Q38" i="17"/>
  <c r="T37" i="17"/>
  <c r="S37" i="17"/>
  <c r="R37" i="17"/>
  <c r="Q37" i="17"/>
  <c r="T36" i="17"/>
  <c r="S36" i="17"/>
  <c r="R36" i="17"/>
  <c r="Q36" i="17"/>
  <c r="T35" i="17"/>
  <c r="S35" i="17"/>
  <c r="R35" i="17"/>
  <c r="Q35" i="17"/>
  <c r="T34" i="17"/>
  <c r="S34" i="17"/>
  <c r="R34" i="17"/>
  <c r="Q34" i="17"/>
  <c r="T33" i="17"/>
  <c r="S33" i="17"/>
  <c r="R33" i="17"/>
  <c r="Q33" i="17"/>
  <c r="T32" i="17"/>
  <c r="S32" i="17"/>
  <c r="R32" i="17"/>
  <c r="Q32" i="17"/>
  <c r="T31" i="17"/>
  <c r="S31" i="17"/>
  <c r="R31" i="17"/>
  <c r="Q31" i="17"/>
  <c r="T30" i="17"/>
  <c r="S30" i="17"/>
  <c r="R30" i="17"/>
  <c r="Q30" i="17"/>
  <c r="T29" i="17"/>
  <c r="S29" i="17"/>
  <c r="R29" i="17"/>
  <c r="Q29" i="17"/>
  <c r="T28" i="17"/>
  <c r="S28" i="17"/>
  <c r="R28" i="17"/>
  <c r="Q28" i="17"/>
  <c r="T27" i="17"/>
  <c r="S27" i="17"/>
  <c r="Q27" i="17"/>
  <c r="T26" i="17"/>
  <c r="S26" i="17"/>
  <c r="Q26" i="17"/>
  <c r="T25" i="17"/>
  <c r="S25" i="17"/>
  <c r="Q25" i="17"/>
  <c r="T24" i="17"/>
  <c r="S24" i="17"/>
  <c r="Q24" i="17"/>
  <c r="T23" i="17"/>
  <c r="S23" i="17"/>
  <c r="Q23" i="17"/>
  <c r="T22" i="17"/>
  <c r="S22" i="17"/>
  <c r="Q22" i="17"/>
  <c r="T21" i="17"/>
  <c r="S21" i="17"/>
  <c r="Q21" i="17"/>
  <c r="T20" i="17"/>
  <c r="S20" i="17"/>
  <c r="Q20" i="17"/>
  <c r="T19" i="17"/>
  <c r="S19" i="17"/>
  <c r="Q19" i="17"/>
  <c r="T18" i="17"/>
  <c r="S18" i="17"/>
  <c r="Q18" i="17"/>
  <c r="T17" i="17"/>
  <c r="S17" i="17"/>
  <c r="Q17" i="17"/>
  <c r="T16" i="17"/>
  <c r="S16" i="17"/>
  <c r="T15" i="17"/>
  <c r="S15" i="17"/>
  <c r="T14" i="17"/>
  <c r="S14" i="17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E5547" i="3"/>
  <c r="E5569" i="3"/>
  <c r="E5568" i="3"/>
  <c r="E5567" i="3"/>
  <c r="E5566" i="3"/>
  <c r="E5561" i="3"/>
  <c r="E5560" i="3"/>
  <c r="E5558" i="3"/>
  <c r="E5557" i="3"/>
  <c r="E5556" i="3"/>
  <c r="E5555" i="3"/>
  <c r="E5553" i="3"/>
  <c r="E5551" i="3"/>
  <c r="E5550" i="3"/>
  <c r="E5549" i="3"/>
  <c r="E5563" i="3"/>
  <c r="P221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L231" i="1"/>
  <c r="E232" i="1"/>
  <c r="E233" i="1" s="1"/>
  <c r="F5524" i="3"/>
  <c r="F5530" i="3"/>
  <c r="F5535" i="3"/>
  <c r="F5544" i="3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L226" i="1"/>
  <c r="L227" i="1"/>
  <c r="L228" i="1"/>
  <c r="L229" i="1"/>
  <c r="L230" i="1"/>
  <c r="E5496" i="3"/>
  <c r="E5494" i="3"/>
  <c r="E5490" i="3"/>
  <c r="E5489" i="3"/>
  <c r="E5486" i="3"/>
  <c r="E5483" i="3"/>
  <c r="E5481" i="3"/>
  <c r="E5477" i="3"/>
  <c r="E5475" i="3"/>
  <c r="E5474" i="3"/>
  <c r="E5493" i="3"/>
  <c r="E229" i="1"/>
  <c r="S233" i="1" l="1"/>
  <c r="E234" i="1"/>
  <c r="S232" i="1"/>
  <c r="Q119" i="17"/>
  <c r="C120" i="17"/>
  <c r="T123" i="17"/>
  <c r="S139" i="17"/>
  <c r="C140" i="17"/>
  <c r="E156" i="17"/>
  <c r="E114" i="17"/>
  <c r="T114" i="17" s="1"/>
  <c r="E120" i="17"/>
  <c r="T120" i="17" s="1"/>
  <c r="E126" i="17"/>
  <c r="T122" i="17"/>
  <c r="Q123" i="17"/>
  <c r="C124" i="17"/>
  <c r="T124" i="17" s="1"/>
  <c r="S142" i="17"/>
  <c r="T142" i="17"/>
  <c r="E143" i="17"/>
  <c r="E151" i="17"/>
  <c r="C144" i="17"/>
  <c r="S143" i="17"/>
  <c r="S138" i="17"/>
  <c r="R142" i="17"/>
  <c r="R151" i="17"/>
  <c r="R159" i="17"/>
  <c r="R160" i="17"/>
  <c r="R161" i="17"/>
  <c r="R164" i="17"/>
  <c r="S136" i="17"/>
  <c r="R139" i="17"/>
  <c r="R156" i="17"/>
  <c r="R162" i="17"/>
  <c r="R165" i="17"/>
  <c r="R140" i="17"/>
  <c r="R144" i="17"/>
  <c r="R145" i="17"/>
  <c r="R146" i="17"/>
  <c r="R147" i="17"/>
  <c r="R152" i="17"/>
  <c r="R153" i="17"/>
  <c r="E230" i="1"/>
  <c r="E231" i="1" s="1"/>
  <c r="E228" i="1"/>
  <c r="L175" i="5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E226" i="1"/>
  <c r="E227" i="1" s="1"/>
  <c r="L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I225" i="1"/>
  <c r="I226" i="1" s="1"/>
  <c r="I227" i="1" s="1"/>
  <c r="I228" i="1" s="1"/>
  <c r="I229" i="1" s="1"/>
  <c r="I230" i="1" s="1"/>
  <c r="I231" i="1" s="1"/>
  <c r="E225" i="1"/>
  <c r="L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224" i="1"/>
  <c r="E5325" i="3"/>
  <c r="E5322" i="3"/>
  <c r="E5320" i="3"/>
  <c r="E5318" i="3"/>
  <c r="E5317" i="3"/>
  <c r="E5313" i="3"/>
  <c r="E5309" i="3"/>
  <c r="E5307" i="3"/>
  <c r="E5306" i="3"/>
  <c r="L223" i="1"/>
  <c r="L222" i="1"/>
  <c r="I223" i="1"/>
  <c r="E223" i="1"/>
  <c r="C223" i="1"/>
  <c r="C224" i="1" s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I222" i="1"/>
  <c r="E222" i="1"/>
  <c r="R222" i="1" s="1"/>
  <c r="C222" i="1"/>
  <c r="L221" i="1"/>
  <c r="I204" i="1"/>
  <c r="R221" i="1"/>
  <c r="C221" i="1"/>
  <c r="C114" i="1"/>
  <c r="C119" i="1"/>
  <c r="C120" i="1"/>
  <c r="C122" i="1"/>
  <c r="C123" i="1"/>
  <c r="C124" i="1" s="1"/>
  <c r="C125" i="1" s="1"/>
  <c r="C136" i="1"/>
  <c r="C138" i="1"/>
  <c r="C139" i="1"/>
  <c r="C140" i="1"/>
  <c r="C142" i="1"/>
  <c r="C143" i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L220" i="1"/>
  <c r="L219" i="1"/>
  <c r="S234" i="1" l="1"/>
  <c r="E235" i="1"/>
  <c r="R234" i="1"/>
  <c r="E157" i="17"/>
  <c r="T143" i="17"/>
  <c r="E144" i="17"/>
  <c r="S124" i="17"/>
  <c r="Q124" i="17"/>
  <c r="C125" i="17"/>
  <c r="T126" i="17"/>
  <c r="S126" i="17"/>
  <c r="Q120" i="17"/>
  <c r="S120" i="17"/>
  <c r="C145" i="17"/>
  <c r="S144" i="17"/>
  <c r="T140" i="17"/>
  <c r="S140" i="17"/>
  <c r="E152" i="17"/>
  <c r="S114" i="17"/>
  <c r="P224" i="1"/>
  <c r="R224" i="1"/>
  <c r="C225" i="1"/>
  <c r="R223" i="1"/>
  <c r="P223" i="1"/>
  <c r="P222" i="1"/>
  <c r="L218" i="1"/>
  <c r="E5138" i="3"/>
  <c r="L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L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L214" i="1"/>
  <c r="L215" i="1"/>
  <c r="S212" i="1"/>
  <c r="S213" i="1"/>
  <c r="S214" i="1"/>
  <c r="R212" i="1"/>
  <c r="R213" i="1"/>
  <c r="R214" i="1"/>
  <c r="R215" i="1"/>
  <c r="E215" i="1"/>
  <c r="E216" i="1" s="1"/>
  <c r="E236" i="1" l="1"/>
  <c r="R235" i="1"/>
  <c r="S235" i="1"/>
  <c r="C146" i="17"/>
  <c r="T144" i="17"/>
  <c r="E145" i="17"/>
  <c r="Q125" i="17"/>
  <c r="S125" i="17"/>
  <c r="T125" i="17"/>
  <c r="E158" i="17"/>
  <c r="P225" i="1"/>
  <c r="C226" i="1"/>
  <c r="R225" i="1"/>
  <c r="E217" i="1"/>
  <c r="R216" i="1"/>
  <c r="E218" i="1"/>
  <c r="S236" i="1" l="1"/>
  <c r="R236" i="1"/>
  <c r="E237" i="1"/>
  <c r="E146" i="17"/>
  <c r="T145" i="17"/>
  <c r="E159" i="17"/>
  <c r="S145" i="17"/>
  <c r="C147" i="17"/>
  <c r="S146" i="17"/>
  <c r="P226" i="1"/>
  <c r="C227" i="1"/>
  <c r="R226" i="1"/>
  <c r="R217" i="1"/>
  <c r="E219" i="1"/>
  <c r="R218" i="1"/>
  <c r="E238" i="1" l="1"/>
  <c r="S237" i="1"/>
  <c r="R237" i="1"/>
  <c r="E160" i="17"/>
  <c r="C148" i="17"/>
  <c r="S147" i="17"/>
  <c r="E147" i="17"/>
  <c r="T146" i="17"/>
  <c r="P227" i="1"/>
  <c r="C228" i="1"/>
  <c r="R227" i="1"/>
  <c r="E220" i="1"/>
  <c r="R219" i="1"/>
  <c r="E239" i="1" l="1"/>
  <c r="S238" i="1"/>
  <c r="R238" i="1"/>
  <c r="E161" i="17"/>
  <c r="C149" i="17"/>
  <c r="S148" i="17"/>
  <c r="T147" i="17"/>
  <c r="E148" i="17"/>
  <c r="T148" i="17" s="1"/>
  <c r="C229" i="1"/>
  <c r="R228" i="1"/>
  <c r="P228" i="1"/>
  <c r="E221" i="1"/>
  <c r="R220" i="1"/>
  <c r="R239" i="1" l="1"/>
  <c r="E240" i="1"/>
  <c r="S239" i="1"/>
  <c r="E162" i="17"/>
  <c r="C150" i="17"/>
  <c r="T149" i="17"/>
  <c r="S149" i="17"/>
  <c r="R229" i="1"/>
  <c r="C230" i="1"/>
  <c r="P229" i="1"/>
  <c r="E5081" i="3"/>
  <c r="L213" i="1"/>
  <c r="L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E241" i="1" l="1"/>
  <c r="S240" i="1"/>
  <c r="R240" i="1"/>
  <c r="E163" i="17"/>
  <c r="C151" i="17"/>
  <c r="S150" i="17"/>
  <c r="T150" i="17"/>
  <c r="P230" i="1"/>
  <c r="R230" i="1"/>
  <c r="C231" i="1"/>
  <c r="L211" i="1"/>
  <c r="E242" i="1" l="1"/>
  <c r="R241" i="1"/>
  <c r="S241" i="1"/>
  <c r="S151" i="17"/>
  <c r="C152" i="17"/>
  <c r="T151" i="17"/>
  <c r="E164" i="17"/>
  <c r="C232" i="1"/>
  <c r="P231" i="1"/>
  <c r="R231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R206" i="1"/>
  <c r="R207" i="1"/>
  <c r="R208" i="1"/>
  <c r="R209" i="1"/>
  <c r="R210" i="1"/>
  <c r="L210" i="1"/>
  <c r="E243" i="1" l="1"/>
  <c r="S242" i="1"/>
  <c r="R242" i="1"/>
  <c r="C153" i="17"/>
  <c r="S152" i="17"/>
  <c r="T152" i="17"/>
  <c r="E165" i="17"/>
  <c r="R232" i="1"/>
  <c r="C233" i="1"/>
  <c r="R233" i="1" s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L209" i="1"/>
  <c r="L208" i="1"/>
  <c r="E244" i="1" l="1"/>
  <c r="E166" i="17"/>
  <c r="C154" i="17"/>
  <c r="T153" i="17"/>
  <c r="S153" i="17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S244" i="1" l="1"/>
  <c r="E245" i="1"/>
  <c r="R244" i="1"/>
  <c r="C155" i="17"/>
  <c r="S154" i="17"/>
  <c r="T154" i="17"/>
  <c r="E167" i="17"/>
  <c r="L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161" i="1"/>
  <c r="L206" i="1"/>
  <c r="E246" i="1" l="1"/>
  <c r="E247" i="1" s="1"/>
  <c r="S245" i="1"/>
  <c r="R245" i="1"/>
  <c r="E168" i="17"/>
  <c r="C156" i="17"/>
  <c r="S155" i="17"/>
  <c r="T155" i="17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L204" i="1"/>
  <c r="L205" i="1"/>
  <c r="E169" i="17" l="1"/>
  <c r="S156" i="17"/>
  <c r="C157" i="17"/>
  <c r="T156" i="17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I205" i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L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P203" i="1"/>
  <c r="E4832" i="3"/>
  <c r="E4848" i="3"/>
  <c r="E203" i="1"/>
  <c r="K202" i="1"/>
  <c r="J202" i="1" s="1"/>
  <c r="I202" i="1"/>
  <c r="E4825" i="3"/>
  <c r="E4822" i="3"/>
  <c r="E4818" i="3"/>
  <c r="E4817" i="3"/>
  <c r="E4807" i="3"/>
  <c r="E4803" i="3"/>
  <c r="E4802" i="3"/>
  <c r="E4819" i="3"/>
  <c r="E4814" i="3"/>
  <c r="E4809" i="3"/>
  <c r="E4808" i="3"/>
  <c r="P202" i="1"/>
  <c r="C158" i="17" l="1"/>
  <c r="S157" i="17"/>
  <c r="T157" i="17"/>
  <c r="E170" i="17"/>
  <c r="E204" i="1"/>
  <c r="E171" i="17" l="1"/>
  <c r="C159" i="17"/>
  <c r="S158" i="17"/>
  <c r="T158" i="17"/>
  <c r="E205" i="1"/>
  <c r="R204" i="1"/>
  <c r="E202" i="1"/>
  <c r="D202" i="1"/>
  <c r="E4816" i="3"/>
  <c r="E4811" i="3"/>
  <c r="E4805" i="3"/>
  <c r="I201" i="1"/>
  <c r="K201" i="1"/>
  <c r="J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P201" i="1"/>
  <c r="E201" i="1"/>
  <c r="D201" i="1"/>
  <c r="D197" i="1"/>
  <c r="E4682" i="3"/>
  <c r="E4792" i="3"/>
  <c r="K200" i="1"/>
  <c r="J200" i="1"/>
  <c r="I200" i="1"/>
  <c r="P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P199" i="1"/>
  <c r="K199" i="1"/>
  <c r="J199" i="1"/>
  <c r="I199" i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K198" i="1"/>
  <c r="J198" i="1"/>
  <c r="I198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P197" i="1"/>
  <c r="K197" i="1"/>
  <c r="J197" i="1"/>
  <c r="I197" i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197" i="1"/>
  <c r="E4693" i="3"/>
  <c r="E4696" i="3"/>
  <c r="K196" i="1"/>
  <c r="J196" i="1" s="1"/>
  <c r="I196" i="1"/>
  <c r="E4669" i="3"/>
  <c r="E4663" i="3"/>
  <c r="E4659" i="3"/>
  <c r="E4658" i="3"/>
  <c r="E4680" i="3"/>
  <c r="E4678" i="3"/>
  <c r="E4672" i="3"/>
  <c r="E4670" i="3"/>
  <c r="E4667" i="3"/>
  <c r="E4665" i="3"/>
  <c r="P196" i="1"/>
  <c r="E196" i="1"/>
  <c r="D196" i="1"/>
  <c r="E4674" i="3"/>
  <c r="E4673" i="3"/>
  <c r="E4679" i="3"/>
  <c r="E4661" i="3"/>
  <c r="K195" i="1"/>
  <c r="J195" i="1" s="1"/>
  <c r="I195" i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P195" i="1"/>
  <c r="E195" i="1"/>
  <c r="D195" i="1"/>
  <c r="S159" i="17" l="1"/>
  <c r="C160" i="17"/>
  <c r="T159" i="17"/>
  <c r="E172" i="17"/>
  <c r="R205" i="1"/>
  <c r="E206" i="1"/>
  <c r="E207" i="1"/>
  <c r="E198" i="1"/>
  <c r="E4643" i="3"/>
  <c r="S160" i="17" l="1"/>
  <c r="C161" i="17"/>
  <c r="T160" i="17"/>
  <c r="E173" i="17"/>
  <c r="E208" i="1"/>
  <c r="E209" i="1" s="1"/>
  <c r="E210" i="1" s="1"/>
  <c r="E199" i="1"/>
  <c r="P194" i="1"/>
  <c r="I194" i="1"/>
  <c r="K194" i="1"/>
  <c r="J194" i="1" s="1"/>
  <c r="E174" i="17" l="1"/>
  <c r="S161" i="17"/>
  <c r="C162" i="17"/>
  <c r="T161" i="17"/>
  <c r="E211" i="1"/>
  <c r="E200" i="1"/>
  <c r="E4624" i="3"/>
  <c r="E4630" i="3"/>
  <c r="E4626" i="3"/>
  <c r="E4625" i="3"/>
  <c r="E4632" i="3"/>
  <c r="E4622" i="3"/>
  <c r="E4615" i="3"/>
  <c r="E4611" i="3"/>
  <c r="E4633" i="3"/>
  <c r="E4616" i="3"/>
  <c r="E4613" i="3"/>
  <c r="E194" i="1"/>
  <c r="D194" i="1"/>
  <c r="S162" i="17" l="1"/>
  <c r="C163" i="17"/>
  <c r="T162" i="17"/>
  <c r="E175" i="17"/>
  <c r="E212" i="1"/>
  <c r="R211" i="1"/>
  <c r="S211" i="1"/>
  <c r="E178" i="5"/>
  <c r="F178" i="5" s="1"/>
  <c r="E179" i="5"/>
  <c r="E180" i="5"/>
  <c r="F180" i="5" s="1"/>
  <c r="E4619" i="3"/>
  <c r="K193" i="1"/>
  <c r="J193" i="1" s="1"/>
  <c r="I193" i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164" i="17" l="1"/>
  <c r="S163" i="17"/>
  <c r="T163" i="17"/>
  <c r="E176" i="17"/>
  <c r="E21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P193" i="1"/>
  <c r="D192" i="1"/>
  <c r="D193" i="1"/>
  <c r="I192" i="1"/>
  <c r="K192" i="1"/>
  <c r="J192" i="1" s="1"/>
  <c r="E177" i="17" l="1"/>
  <c r="S164" i="17"/>
  <c r="C165" i="17"/>
  <c r="T164" i="17"/>
  <c r="E214" i="1"/>
  <c r="E4582" i="3"/>
  <c r="E4578" i="3"/>
  <c r="E4576" i="3"/>
  <c r="E4571" i="3"/>
  <c r="E4567" i="3"/>
  <c r="E4562" i="3"/>
  <c r="E4584" i="3"/>
  <c r="E4583" i="3"/>
  <c r="E4574" i="3"/>
  <c r="E4538" i="3"/>
  <c r="P192" i="1"/>
  <c r="D191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J191" i="1"/>
  <c r="I191" i="1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P191" i="1"/>
  <c r="J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J182" i="1"/>
  <c r="E4323" i="3"/>
  <c r="E4343" i="3"/>
  <c r="E4337" i="3"/>
  <c r="E4329" i="3"/>
  <c r="E4327" i="3"/>
  <c r="E4342" i="3"/>
  <c r="E4334" i="3"/>
  <c r="E4325" i="3"/>
  <c r="E4338" i="3"/>
  <c r="E4336" i="3"/>
  <c r="J181" i="1"/>
  <c r="S165" i="17" l="1"/>
  <c r="C166" i="17"/>
  <c r="T165" i="17"/>
  <c r="E178" i="17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C167" i="17" l="1"/>
  <c r="S166" i="17"/>
  <c r="T166" i="17"/>
  <c r="E179" i="17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E180" i="17" l="1"/>
  <c r="S167" i="17"/>
  <c r="C168" i="17"/>
  <c r="T167" i="17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S168" i="17" l="1"/>
  <c r="C169" i="17"/>
  <c r="T168" i="17"/>
  <c r="E181" i="17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170" i="17" l="1"/>
  <c r="S169" i="17"/>
  <c r="T169" i="17"/>
  <c r="E182" i="17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E183" i="17" l="1"/>
  <c r="S170" i="17"/>
  <c r="C171" i="17"/>
  <c r="T170" i="17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172" i="17" l="1"/>
  <c r="Q171" i="17"/>
  <c r="S171" i="17"/>
  <c r="T171" i="17"/>
  <c r="E184" i="17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E185" i="17" l="1"/>
  <c r="S172" i="17"/>
  <c r="C173" i="17"/>
  <c r="Q172" i="17"/>
  <c r="T172" i="17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C174" i="17" l="1"/>
  <c r="Q173" i="17"/>
  <c r="S173" i="17"/>
  <c r="T173" i="17"/>
  <c r="E186" i="17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E187" i="17" l="1"/>
  <c r="S174" i="17"/>
  <c r="C175" i="17"/>
  <c r="Q174" i="17"/>
  <c r="T174" i="17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S175" i="17" l="1"/>
  <c r="Q175" i="17"/>
  <c r="C176" i="17"/>
  <c r="T175" i="17"/>
  <c r="E188" i="17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S176" i="17" l="1"/>
  <c r="Q176" i="17"/>
  <c r="C177" i="17"/>
  <c r="T176" i="17"/>
  <c r="E189" i="17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S177" i="17" l="1"/>
  <c r="Q177" i="17"/>
  <c r="C178" i="17"/>
  <c r="T177" i="17"/>
  <c r="E190" i="17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S178" i="17" l="1"/>
  <c r="Q178" i="17"/>
  <c r="C179" i="17"/>
  <c r="T178" i="17"/>
  <c r="E191" i="17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S179" i="17" l="1"/>
  <c r="Q179" i="17"/>
  <c r="C180" i="17"/>
  <c r="T179" i="17"/>
  <c r="E192" i="17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E193" i="17" l="1"/>
  <c r="S180" i="17"/>
  <c r="Q180" i="17"/>
  <c r="C181" i="17"/>
  <c r="T180" i="17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E194" i="17" l="1"/>
  <c r="S181" i="17"/>
  <c r="Q181" i="17"/>
  <c r="C182" i="17"/>
  <c r="T181" i="17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E195" i="17" l="1"/>
  <c r="S182" i="17"/>
  <c r="Q182" i="17"/>
  <c r="C183" i="17"/>
  <c r="T182" i="17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E196" i="17" l="1"/>
  <c r="S183" i="17"/>
  <c r="Q183" i="17"/>
  <c r="C184" i="17"/>
  <c r="T183" i="17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E197" i="17" l="1"/>
  <c r="S184" i="17"/>
  <c r="Q184" i="17"/>
  <c r="C185" i="17"/>
  <c r="T184" i="17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E198" i="17" l="1"/>
  <c r="S185" i="17"/>
  <c r="Q185" i="17"/>
  <c r="C186" i="17"/>
  <c r="T185" i="17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E199" i="17" l="1"/>
  <c r="S186" i="17"/>
  <c r="Q186" i="17"/>
  <c r="C187" i="17"/>
  <c r="T186" i="17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E200" i="17" l="1"/>
  <c r="S187" i="17"/>
  <c r="Q187" i="17"/>
  <c r="C188" i="17"/>
  <c r="T187" i="17"/>
  <c r="T197" i="17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S188" i="17" l="1"/>
  <c r="Q188" i="17"/>
  <c r="C189" i="17"/>
  <c r="T188" i="17"/>
  <c r="T198" i="17"/>
  <c r="E201" i="17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S189" i="17" l="1"/>
  <c r="Q189" i="17"/>
  <c r="C190" i="17"/>
  <c r="T189" i="17"/>
  <c r="T199" i="17"/>
  <c r="E202" i="17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S190" i="17" l="1"/>
  <c r="Q190" i="17"/>
  <c r="C191" i="17"/>
  <c r="T190" i="17"/>
  <c r="T200" i="17"/>
  <c r="E203" i="17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E204" i="17" l="1"/>
  <c r="S191" i="17"/>
  <c r="Q191" i="17"/>
  <c r="C192" i="17"/>
  <c r="T191" i="17"/>
  <c r="T201" i="17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E205" i="17" l="1"/>
  <c r="S192" i="17"/>
  <c r="Q192" i="17"/>
  <c r="C193" i="17"/>
  <c r="T192" i="17"/>
  <c r="T202" i="17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E206" i="17" l="1"/>
  <c r="S193" i="17"/>
  <c r="Q193" i="17"/>
  <c r="C194" i="17"/>
  <c r="T193" i="17"/>
  <c r="T203" i="17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E207" i="17" l="1"/>
  <c r="S194" i="17"/>
  <c r="Q194" i="17"/>
  <c r="C195" i="17"/>
  <c r="T194" i="17"/>
  <c r="T204" i="17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E208" i="17" l="1"/>
  <c r="S195" i="17"/>
  <c r="Q195" i="17"/>
  <c r="C196" i="17"/>
  <c r="T195" i="17"/>
  <c r="T205" i="17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E209" i="17" l="1"/>
  <c r="S196" i="17"/>
  <c r="Q196" i="17"/>
  <c r="C197" i="17"/>
  <c r="T196" i="17"/>
  <c r="T206" i="17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S197" i="17" l="1"/>
  <c r="Q197" i="17"/>
  <c r="C198" i="17"/>
  <c r="T207" i="17"/>
  <c r="E210" i="17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E211" i="17" l="1"/>
  <c r="S198" i="17"/>
  <c r="C199" i="17"/>
  <c r="Q198" i="17"/>
  <c r="T208" i="17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C200" i="17" l="1"/>
  <c r="Q199" i="17"/>
  <c r="S199" i="17"/>
  <c r="T209" i="17"/>
  <c r="E212" i="17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E213" i="17" l="1"/>
  <c r="C201" i="17"/>
  <c r="Q200" i="17"/>
  <c r="S200" i="17"/>
  <c r="T210" i="17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E214" i="17" l="1"/>
  <c r="S201" i="17"/>
  <c r="C202" i="17"/>
  <c r="Q201" i="17"/>
  <c r="T211" i="17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C203" i="17" l="1"/>
  <c r="Q202" i="17"/>
  <c r="S202" i="17"/>
  <c r="T212" i="17"/>
  <c r="E215" i="17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T215" i="17" l="1"/>
  <c r="E216" i="17"/>
  <c r="C204" i="17"/>
  <c r="Q203" i="17"/>
  <c r="S203" i="17"/>
  <c r="T213" i="17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J180" i="1"/>
  <c r="E4318" i="3"/>
  <c r="C205" i="17" l="1"/>
  <c r="Q204" i="17"/>
  <c r="S204" i="17"/>
  <c r="T214" i="17"/>
  <c r="T216" i="17"/>
  <c r="E217" i="17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T217" i="17" l="1"/>
  <c r="E218" i="17"/>
  <c r="C206" i="17"/>
  <c r="Q205" i="17"/>
  <c r="S205" i="17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J179" i="1"/>
  <c r="C207" i="17" l="1"/>
  <c r="Q206" i="17"/>
  <c r="S206" i="17"/>
  <c r="T218" i="17"/>
  <c r="E219" i="17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T219" i="17" l="1"/>
  <c r="E220" i="17"/>
  <c r="C208" i="17"/>
  <c r="Q207" i="17"/>
  <c r="S207" i="17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C209" i="17" l="1"/>
  <c r="Q208" i="17"/>
  <c r="S208" i="17"/>
  <c r="T220" i="17"/>
  <c r="E221" i="17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F4199" i="3" s="1"/>
  <c r="E4145" i="3"/>
  <c r="T221" i="17" l="1"/>
  <c r="E222" i="17"/>
  <c r="C210" i="17"/>
  <c r="Q209" i="17"/>
  <c r="S209" i="17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K174" i="1"/>
  <c r="J174" i="1" s="1"/>
  <c r="C211" i="17" l="1"/>
  <c r="Q210" i="17"/>
  <c r="S210" i="17"/>
  <c r="T222" i="17"/>
  <c r="E223" i="17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T223" i="17" l="1"/>
  <c r="E224" i="17"/>
  <c r="C212" i="17"/>
  <c r="Q211" i="17"/>
  <c r="S211" i="17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K172" i="1"/>
  <c r="J172" i="1" s="1"/>
  <c r="C213" i="17" l="1"/>
  <c r="Q212" i="17"/>
  <c r="S212" i="17"/>
  <c r="E225" i="17"/>
  <c r="T224" i="17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E226" i="17" l="1"/>
  <c r="T225" i="17"/>
  <c r="C214" i="17"/>
  <c r="Q213" i="17"/>
  <c r="S213" i="17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K171" i="1"/>
  <c r="J171" i="1" s="1"/>
  <c r="C215" i="17" l="1"/>
  <c r="Q214" i="17"/>
  <c r="S214" i="17"/>
  <c r="E227" i="17"/>
  <c r="T226" i="17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K170" i="1"/>
  <c r="J170" i="1"/>
  <c r="E4043" i="3"/>
  <c r="E4046" i="3"/>
  <c r="E4039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E228" i="17" l="1"/>
  <c r="T227" i="17"/>
  <c r="C216" i="17"/>
  <c r="Q215" i="17"/>
  <c r="S215" i="17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C217" i="17" l="1"/>
  <c r="Q216" i="17"/>
  <c r="S216" i="17"/>
  <c r="E229" i="17"/>
  <c r="T228" i="17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K165" i="1"/>
  <c r="J165" i="1" s="1"/>
  <c r="E230" i="17" l="1"/>
  <c r="T229" i="17"/>
  <c r="C218" i="17"/>
  <c r="Q217" i="17"/>
  <c r="S217" i="17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P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C219" i="17" l="1"/>
  <c r="Q218" i="17"/>
  <c r="S218" i="17"/>
  <c r="E231" i="17"/>
  <c r="T230" i="17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P164" i="1"/>
  <c r="D164" i="1"/>
  <c r="E232" i="17" l="1"/>
  <c r="T231" i="17"/>
  <c r="C220" i="17"/>
  <c r="Q219" i="17"/>
  <c r="S219" i="17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K163" i="1"/>
  <c r="J163" i="1" s="1"/>
  <c r="I163" i="1"/>
  <c r="C221" i="17" l="1"/>
  <c r="Q220" i="17"/>
  <c r="S220" i="17"/>
  <c r="T232" i="17"/>
  <c r="E233" i="17"/>
  <c r="T233" i="17" s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P163" i="1"/>
  <c r="D163" i="1"/>
  <c r="K162" i="1"/>
  <c r="J162" i="1" s="1"/>
  <c r="E3880" i="3"/>
  <c r="E3846" i="3"/>
  <c r="D162" i="1"/>
  <c r="P162" i="1"/>
  <c r="C222" i="17" l="1"/>
  <c r="Q221" i="17"/>
  <c r="S221" i="17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K161" i="1"/>
  <c r="J161" i="1"/>
  <c r="P161" i="1"/>
  <c r="E3822" i="3"/>
  <c r="C223" i="17" l="1"/>
  <c r="Q222" i="17"/>
  <c r="S222" i="17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K160" i="1"/>
  <c r="J160" i="1" s="1"/>
  <c r="C224" i="17" l="1"/>
  <c r="Q223" i="17"/>
  <c r="S223" i="17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P160" i="1"/>
  <c r="K159" i="1"/>
  <c r="J159" i="1" s="1"/>
  <c r="I159" i="1"/>
  <c r="C225" i="17" l="1"/>
  <c r="Q224" i="17"/>
  <c r="S224" i="17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P159" i="1"/>
  <c r="C226" i="17" l="1"/>
  <c r="Q225" i="17"/>
  <c r="S225" i="17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K158" i="1"/>
  <c r="J158" i="1" s="1"/>
  <c r="C227" i="17" l="1"/>
  <c r="Q226" i="17"/>
  <c r="S226" i="17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P158" i="1"/>
  <c r="C228" i="17" l="1"/>
  <c r="Q227" i="17"/>
  <c r="S227" i="17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K157" i="1"/>
  <c r="J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C229" i="17" l="1"/>
  <c r="Q228" i="17"/>
  <c r="S228" i="17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P157" i="1"/>
  <c r="D157" i="1"/>
  <c r="C230" i="17" l="1"/>
  <c r="Q229" i="17"/>
  <c r="S229" i="17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K156" i="1"/>
  <c r="J156" i="1"/>
  <c r="I156" i="1"/>
  <c r="I157" i="1" s="1"/>
  <c r="C231" i="17" l="1"/>
  <c r="Q230" i="17"/>
  <c r="S230" i="17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P156" i="1"/>
  <c r="D156" i="1"/>
  <c r="K155" i="1"/>
  <c r="J155" i="1" s="1"/>
  <c r="C232" i="17" l="1"/>
  <c r="Q231" i="17"/>
  <c r="S231" i="17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P155" i="1"/>
  <c r="C233" i="17" l="1"/>
  <c r="S233" i="17" s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K154" i="1"/>
  <c r="J154" i="1"/>
  <c r="P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K153" i="1"/>
  <c r="J153" i="1" s="1"/>
  <c r="P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K152" i="1"/>
  <c r="J152" i="1"/>
  <c r="I152" i="1"/>
  <c r="E3606" i="3"/>
  <c r="D152" i="1"/>
  <c r="P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K149" i="1"/>
  <c r="J149" i="1" s="1"/>
  <c r="K148" i="1"/>
  <c r="E3534" i="3"/>
  <c r="E3530" i="3"/>
  <c r="P149" i="1"/>
  <c r="D149" i="1"/>
  <c r="I148" i="1"/>
  <c r="E3506" i="3"/>
  <c r="P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K147" i="1"/>
  <c r="J147" i="1" s="1"/>
  <c r="P147" i="1"/>
  <c r="P146" i="1"/>
  <c r="K146" i="1"/>
  <c r="J146" i="1" s="1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I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P145" i="1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F3201" i="3" l="1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P144" i="1"/>
  <c r="D144" i="1"/>
  <c r="F3225" i="3" l="1"/>
  <c r="F3226" i="3"/>
  <c r="E164" i="1"/>
  <c r="I143" i="1"/>
  <c r="E3390" i="3"/>
  <c r="E3386" i="3"/>
  <c r="P143" i="1"/>
  <c r="F3251" i="3" l="1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3249" i="3"/>
  <c r="E165" i="1"/>
  <c r="F3275" i="3" l="1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P141" i="1"/>
  <c r="F4610" i="3" l="1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F3597" i="3" l="1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F3345" i="3" l="1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S141" i="1"/>
  <c r="R141" i="1"/>
  <c r="E169" i="1"/>
  <c r="E170" i="1" s="1"/>
  <c r="P140" i="1"/>
  <c r="F3395" i="3" l="1"/>
  <c r="F3420" i="3" s="1"/>
  <c r="F3445" i="3" s="1"/>
  <c r="F3470" i="3" s="1"/>
  <c r="F3495" i="3" s="1"/>
  <c r="F3520" i="3" s="1"/>
  <c r="F3545" i="3" s="1"/>
  <c r="F3570" i="3" s="1"/>
  <c r="F3620" i="3" s="1"/>
  <c r="F3369" i="3"/>
  <c r="E171" i="1"/>
  <c r="E172" i="1" s="1"/>
  <c r="E143" i="1"/>
  <c r="S142" i="1"/>
  <c r="R142" i="1"/>
  <c r="K139" i="1"/>
  <c r="F3419" i="3" l="1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S143" i="1"/>
  <c r="R143" i="1"/>
  <c r="P138" i="1"/>
  <c r="K137" i="1"/>
  <c r="J137" i="1" s="1"/>
  <c r="P137" i="1"/>
  <c r="F3443" i="3" l="1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38" i="1"/>
  <c r="S138" i="1"/>
  <c r="E145" i="1"/>
  <c r="S144" i="1"/>
  <c r="R144" i="1"/>
  <c r="K136" i="1"/>
  <c r="F3467" i="3" l="1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S145" i="1"/>
  <c r="R145" i="1"/>
  <c r="R139" i="1"/>
  <c r="S139" i="1"/>
  <c r="K135" i="1"/>
  <c r="F3491" i="3" l="1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S146" i="1"/>
  <c r="R146" i="1"/>
  <c r="S140" i="1"/>
  <c r="R140" i="1"/>
  <c r="R136" i="1"/>
  <c r="S136" i="1"/>
  <c r="S149" i="1"/>
  <c r="R149" i="1"/>
  <c r="P135" i="1"/>
  <c r="K134" i="1"/>
  <c r="P134" i="1"/>
  <c r="F3515" i="3" l="1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50" i="1"/>
  <c r="S150" i="1"/>
  <c r="E148" i="1"/>
  <c r="S147" i="1"/>
  <c r="R147" i="1"/>
  <c r="L133" i="1"/>
  <c r="F3513" i="3" l="1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S148" i="1"/>
  <c r="R148" i="1"/>
  <c r="R151" i="1"/>
  <c r="S151" i="1"/>
  <c r="P133" i="1"/>
  <c r="L132" i="1"/>
  <c r="F3563" i="3" l="1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52" i="1"/>
  <c r="S152" i="1"/>
  <c r="L131" i="1"/>
  <c r="F3561" i="3" l="1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S153" i="1"/>
  <c r="R153" i="1"/>
  <c r="P130" i="1"/>
  <c r="F3585" i="3" l="1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E182" i="1" s="1"/>
  <c r="R154" i="1"/>
  <c r="S154" i="1"/>
  <c r="P129" i="1"/>
  <c r="F3609" i="3" l="1"/>
  <c r="F3635" i="3"/>
  <c r="F3660" i="3" s="1"/>
  <c r="F3685" i="3" s="1"/>
  <c r="F3710" i="3" s="1"/>
  <c r="F3735" i="3" s="1"/>
  <c r="F3760" i="3" s="1"/>
  <c r="F3785" i="3" s="1"/>
  <c r="F3810" i="3" s="1"/>
  <c r="E183" i="1"/>
  <c r="R155" i="1"/>
  <c r="S155" i="1"/>
  <c r="F3659" i="3" l="1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E184" i="1"/>
  <c r="R156" i="1"/>
  <c r="S156" i="1"/>
  <c r="K127" i="1"/>
  <c r="F3657" i="3" l="1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E185" i="1"/>
  <c r="R157" i="1"/>
  <c r="S157" i="1"/>
  <c r="F3681" i="3" l="1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E186" i="1"/>
  <c r="R158" i="1"/>
  <c r="S158" i="1"/>
  <c r="F3705" i="3" l="1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E187" i="1"/>
  <c r="R159" i="1"/>
  <c r="S159" i="1"/>
  <c r="L124" i="1"/>
  <c r="F3729" i="3" l="1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R160" i="1"/>
  <c r="S160" i="1"/>
  <c r="K123" i="1"/>
  <c r="J123" i="1" s="1"/>
  <c r="F3779" i="3" l="1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S161" i="1"/>
  <c r="E122" i="1"/>
  <c r="K121" i="1"/>
  <c r="K120" i="1"/>
  <c r="F3777" i="3" l="1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R122" i="1"/>
  <c r="S122" i="1"/>
  <c r="E123" i="1"/>
  <c r="F3801" i="3" l="1"/>
  <c r="F3827" i="3"/>
  <c r="F3851" i="3" s="1"/>
  <c r="F3875" i="3" s="1"/>
  <c r="E191" i="1"/>
  <c r="E192" i="1" s="1"/>
  <c r="S123" i="1"/>
  <c r="R123" i="1"/>
  <c r="E124" i="1"/>
  <c r="F3899" i="3" l="1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R124" i="1"/>
  <c r="E125" i="1"/>
  <c r="S124" i="1"/>
  <c r="E119" i="1"/>
  <c r="E120" i="1" l="1"/>
  <c r="S119" i="1"/>
  <c r="E126" i="1"/>
  <c r="S125" i="1"/>
  <c r="R119" i="1"/>
  <c r="R125" i="1"/>
  <c r="R120" i="1"/>
  <c r="S126" i="1" l="1"/>
  <c r="R126" i="1"/>
  <c r="S120" i="1"/>
  <c r="E113" i="1" l="1"/>
  <c r="S113" i="1" l="1"/>
  <c r="R113" i="1"/>
  <c r="E114" i="1"/>
  <c r="S114" i="1" l="1"/>
  <c r="R114" i="1"/>
  <c r="P171" i="1" l="1"/>
  <c r="P172" i="1" l="1"/>
  <c r="P173" i="1" l="1"/>
  <c r="P174" i="1" l="1"/>
  <c r="P175" i="1" l="1"/>
  <c r="P176" i="1" l="1"/>
  <c r="P177" i="1" l="1"/>
  <c r="P178" i="1" l="1"/>
  <c r="P179" i="1" l="1"/>
  <c r="P180" i="1" l="1"/>
  <c r="P181" i="1" l="1"/>
  <c r="P182" i="1" l="1"/>
  <c r="P183" i="1" l="1"/>
  <c r="P184" i="1" l="1"/>
  <c r="P185" i="1" l="1"/>
  <c r="P186" i="1" l="1"/>
  <c r="P187" i="1" l="1"/>
  <c r="P188" i="1" l="1"/>
  <c r="P189" i="1" l="1"/>
  <c r="P190" i="1" l="1"/>
</calcChain>
</file>

<file path=xl/sharedStrings.xml><?xml version="1.0" encoding="utf-8"?>
<sst xmlns="http://schemas.openxmlformats.org/spreadsheetml/2006/main" count="11164" uniqueCount="158">
  <si>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</si>
  <si>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</si>
  <si>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</si>
  <si>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</si>
  <si>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</si>
  <si>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</si>
  <si>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</si>
  <si>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</si>
  <si>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</si>
  <si>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</si>
  <si>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</si>
  <si>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</si>
  <si>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</si>
  <si>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</si>
  <si>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</si>
  <si>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</si>
  <si>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</si>
  <si>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</si>
  <si>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</si>
  <si>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</si>
  <si>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</si>
  <si>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</si>
  <si>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</si>
  <si>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</si>
  <si>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</si>
  <si>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</si>
  <si>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</si>
  <si>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</si>
  <si>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</si>
  <si>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</si>
  <si>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</si>
  <si>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</si>
  <si>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</si>
  <si>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</si>
  <si>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</si>
  <si>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</si>
  <si>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</si>
  <si>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</si>
  <si>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</si>
  <si>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</si>
  <si>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</si>
  <si>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</si>
  <si>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</si>
  <si>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</si>
  <si>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</si>
  <si>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</si>
  <si>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</si>
  <si>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</si>
  <si>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</si>
  <si>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</si>
  <si>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</si>
  <si>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</si>
  <si>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</si>
  <si>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</si>
  <si>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</si>
  <si>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</si>
  <si>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</si>
  <si>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</si>
  <si>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</si>
  <si>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</si>
  <si>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</si>
  <si>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</si>
  <si>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</si>
  <si>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</si>
  <si>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</si>
  <si>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</si>
  <si>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</si>
  <si>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</si>
  <si>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</si>
  <si>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</si>
  <si>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</si>
  <si>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</si>
  <si>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</si>
  <si>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</si>
  <si>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</si>
  <si>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</si>
  <si>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</si>
  <si>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</si>
  <si>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</si>
  <si>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</si>
  <si>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</si>
  <si>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</si>
  <si>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</si>
  <si>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</si>
  <si>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</si>
  <si>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</si>
  <si>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</si>
  <si>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</si>
  <si>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</si>
  <si>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</si>
  <si>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</si>
  <si>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</si>
  <si>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</si>
  <si>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</si>
  <si>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</si>
  <si>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</si>
  <si>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</si>
  <si>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</si>
  <si>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</si>
  <si>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</si>
  <si>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</si>
  <si>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</si>
  <si>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</si>
  <si>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</si>
  <si>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</si>
  <si>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</si>
  <si>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</si>
  <si>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</si>
  <si>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</si>
  <si>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</si>
  <si>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</si>
  <si>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</si>
  <si>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</si>
  <si>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</si>
  <si>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</si>
  <si>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</si>
  <si>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</si>
  <si>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</si>
  <si>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</si>
  <si>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</si>
  <si>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</si>
  <si>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</si>
  <si>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</si>
  <si>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</si>
  <si>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</si>
  <si>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</si>
  <si>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</si>
  <si>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</si>
  <si>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</si>
  <si>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</si>
  <si>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TASA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</si>
  <si>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</si>
  <si>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</si>
  <si>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</si>
  <si>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</si>
  <si>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</si>
  <si>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</si>
  <si>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</si>
  <si>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</si>
  <si>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</si>
  <si>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</si>
  <si>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</si>
  <si>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</si>
  <si>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</si>
  <si>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</si>
  <si>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</si>
  <si>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</si>
  <si>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</si>
  <si>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</si>
  <si>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totales</t>
  </si>
  <si>
    <t>% ocupacion</t>
  </si>
  <si>
    <t>POSITIVIDAD</t>
  </si>
  <si>
    <t>FALL</t>
  </si>
  <si>
    <t>FALL ACUM</t>
  </si>
  <si>
    <t>DIAS</t>
  </si>
  <si>
    <t>FECHA DUPL</t>
  </si>
  <si>
    <t>DOBLE</t>
  </si>
  <si>
    <t>REC_N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</si>
</sst>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</cellStyleXfs>
  <cellXfs count="232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0" fillId="38" borderId="1" xfId="0" applyNumberFormat="1" applyFill="1" applyBorder="1" applyAlignment="1">
      <alignment horizontal="center"/>
    </xf>
    <xf numFmtId="1" fontId="17" fillId="5" borderId="1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3" xfId="1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0" fillId="0" borderId="36" xfId="0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39" borderId="1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40" borderId="1" xfId="0" applyFill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8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3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/>
    </xf>
    <xf numFmtId="1" fontId="33" fillId="0" borderId="5" xfId="0" applyNumberFormat="1" applyFont="1" applyBorder="1" applyAlignment="1">
      <alignment horizontal="center"/>
    </xf>
    <xf numFmtId="14" fontId="37" fillId="0" borderId="39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3" fillId="0" borderId="40" xfId="0" applyFont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/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2" borderId="53" xfId="0" applyFill="1" applyBorder="1" applyAlignment="1">
      <alignment horizontal="center"/>
    </xf>
    <xf numFmtId="1" fontId="0" fillId="0" borderId="53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/>
    </xf>
    <xf numFmtId="0" fontId="0" fillId="41" borderId="39" xfId="0" applyFill="1" applyBorder="1" applyAlignment="1">
      <alignment horizontal="center"/>
    </xf>
    <xf numFmtId="0" fontId="2" fillId="0" borderId="39" xfId="0" applyFont="1" applyBorder="1"/>
    <xf numFmtId="0" fontId="2" fillId="0" borderId="39" xfId="0" applyFont="1" applyBorder="1" applyAlignment="1">
      <alignment horizontal="center" wrapText="1"/>
    </xf>
    <xf numFmtId="9" fontId="0" fillId="0" borderId="0" xfId="0" applyNumberFormat="1"/>
    <xf numFmtId="0" fontId="3" fillId="0" borderId="54" xfId="0" applyFont="1" applyBorder="1"/>
    <xf numFmtId="14" fontId="37" fillId="0" borderId="55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1" fontId="0" fillId="0" borderId="55" xfId="0" applyNumberFormat="1" applyBorder="1" applyAlignment="1">
      <alignment horizontal="center"/>
    </xf>
    <xf numFmtId="3" fontId="3" fillId="0" borderId="55" xfId="0" applyNumberFormat="1" applyFon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1" fontId="0" fillId="0" borderId="56" xfId="0" applyNumberFormat="1" applyBorder="1" applyAlignment="1">
      <alignment horizontal="center"/>
    </xf>
    <xf numFmtId="0" fontId="2" fillId="0" borderId="55" xfId="0" applyFont="1" applyBorder="1" applyAlignment="1">
      <alignment horizontal="center" wrapText="1"/>
    </xf>
    <xf numFmtId="0" fontId="0" fillId="0" borderId="55" xfId="0" applyBorder="1" applyAlignment="1">
      <alignment horizontal="center" vertical="center"/>
    </xf>
    <xf numFmtId="164" fontId="0" fillId="0" borderId="55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165" fontId="37" fillId="0" borderId="0" xfId="43" applyNumberFormat="1" applyFont="1" applyAlignment="1">
      <alignment horizontal="center"/>
    </xf>
    <xf numFmtId="165" fontId="0" fillId="0" borderId="1" xfId="43" applyNumberFormat="1" applyFont="1" applyBorder="1" applyAlignment="1">
      <alignment horizontal="center"/>
    </xf>
    <xf numFmtId="165" fontId="0" fillId="0" borderId="0" xfId="43" applyNumberFormat="1" applyFont="1" applyAlignment="1">
      <alignment horizontal="center"/>
    </xf>
    <xf numFmtId="0" fontId="0" fillId="42" borderId="1" xfId="0" applyFill="1" applyBorder="1"/>
    <xf numFmtId="1" fontId="3" fillId="2" borderId="1" xfId="0" applyNumberFormat="1" applyFont="1" applyFill="1" applyBorder="1" applyAlignment="1">
      <alignment horizontal="center" vertical="center"/>
    </xf>
    <xf numFmtId="1" fontId="3" fillId="38" borderId="1" xfId="0" applyNumberFormat="1" applyFont="1" applyFill="1" applyBorder="1" applyAlignment="1">
      <alignment horizontal="center" vertical="center"/>
    </xf>
    <xf numFmtId="1" fontId="3" fillId="42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3" fontId="18" fillId="0" borderId="1" xfId="0" applyNumberFormat="1" applyFont="1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3" fillId="0" borderId="58" xfId="0" applyFont="1" applyBorder="1"/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wrapText="1"/>
    </xf>
    <xf numFmtId="0" fontId="2" fillId="0" borderId="6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61" xfId="0" applyFont="1" applyBorder="1" applyAlignment="1">
      <alignment horizontal="center" wrapText="1"/>
    </xf>
    <xf numFmtId="0" fontId="2" fillId="0" borderId="62" xfId="0" applyFont="1" applyBorder="1" applyAlignment="1">
      <alignment horizontal="center" wrapText="1"/>
    </xf>
    <xf numFmtId="0" fontId="2" fillId="0" borderId="63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2" name="AutoShape 18" descr="Bandera triangular en poste">
          <a:extLst>
            <a:ext uri="{FF2B5EF4-FFF2-40B4-BE49-F238E27FC236}">
              <a16:creationId xmlns:a16="http://schemas.microsoft.com/office/drawing/2014/main" id="{77091CEC-C108-4BE8-BAA5-8615E61E8CB1}"/>
            </a:ext>
          </a:extLst>
        </xdr:cNvPr>
        <xdr:cNvSpPr>
          <a:spLocks noChangeAspect="1" noChangeArrowheads="1"/>
        </xdr:cNvSpPr>
      </xdr:nvSpPr>
      <xdr:spPr bwMode="auto">
        <a:xfrm>
          <a:off x="1495425" y="3697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24D634B7-681A-40EE-BF37-8DECEE7310AF}"/>
            </a:ext>
          </a:extLst>
        </xdr:cNvPr>
        <xdr:cNvSpPr>
          <a:spLocks noChangeAspect="1" noChangeArrowheads="1"/>
        </xdr:cNvSpPr>
      </xdr:nvSpPr>
      <xdr:spPr bwMode="auto">
        <a:xfrm>
          <a:off x="1495425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4B5B1FE0-ED2F-4265-8BD3-E01C9F9E8CAF}"/>
            </a:ext>
          </a:extLst>
        </xdr:cNvPr>
        <xdr:cNvSpPr>
          <a:spLocks noChangeAspect="1" noChangeArrowheads="1"/>
        </xdr:cNvSpPr>
      </xdr:nvSpPr>
      <xdr:spPr bwMode="auto">
        <a:xfrm>
          <a:off x="1495425" y="3737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250"/>
  <sheetViews>
    <sheetView tabSelected="1" zoomScale="85" zoomScaleNormal="85" workbookViewId="0">
      <pane ySplit="1" topLeftCell="A239" activePane="bottomLeft" state="frozen"/>
      <selection pane="bottomLeft" activeCell="B251" sqref="B251"/>
    </sheetView>
  </sheetViews>
  <sheetFormatPr baseColWidth="10" defaultRowHeight="15" x14ac:dyDescent="0.25"/>
  <cols>
    <col min="1" max="1" width="10.5703125" style="74" bestFit="1" customWidth="1"/>
    <col min="2" max="2" width="11.85546875" style="6" bestFit="1" customWidth="1"/>
    <col min="3" max="3" width="11.42578125" style="6"/>
    <col min="4" max="4" width="9.140625" style="6" customWidth="1"/>
    <col min="5" max="5" width="10" style="6" customWidth="1"/>
    <col min="6" max="6" width="19.5703125" style="83" customWidth="1"/>
    <col min="7" max="7" width="9.42578125" style="6" customWidth="1"/>
    <col min="8" max="9" width="11.42578125" style="6"/>
    <col min="10" max="10" width="12" style="36" customWidth="1"/>
    <col min="11" max="11" width="13.140625" style="36" customWidth="1"/>
    <col min="12" max="12" width="14.140625" style="6" customWidth="1"/>
    <col min="13" max="16" width="11.42578125" style="6"/>
    <col min="17" max="17" width="8.5703125" style="6" customWidth="1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9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157</v>
      </c>
      <c r="R1" s="1" t="s">
        <v>132</v>
      </c>
      <c r="S1" s="4" t="s">
        <v>131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79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79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79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79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79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29">
        <f t="shared" ref="Q6:Q69" si="0">F6-F5</f>
        <v>0</v>
      </c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79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29">
        <f t="shared" si="0"/>
        <v>0</v>
      </c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79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29">
        <f t="shared" si="0"/>
        <v>0</v>
      </c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79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29">
        <f t="shared" si="0"/>
        <v>0</v>
      </c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79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29">
        <f t="shared" si="0"/>
        <v>0</v>
      </c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79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29">
        <f t="shared" si="0"/>
        <v>0</v>
      </c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79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29">
        <f t="shared" si="0"/>
        <v>0</v>
      </c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79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29">
        <f t="shared" si="0"/>
        <v>0</v>
      </c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79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29">
        <f t="shared" si="0"/>
        <v>0</v>
      </c>
      <c r="R14" s="72">
        <f t="shared" ref="R14:R77" si="1">G14/(C14-E14-F14)</f>
        <v>0</v>
      </c>
      <c r="S14" s="62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79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29">
        <f t="shared" si="0"/>
        <v>0</v>
      </c>
      <c r="R15" s="72">
        <f t="shared" si="1"/>
        <v>0</v>
      </c>
      <c r="S15" s="62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79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29">
        <f t="shared" si="0"/>
        <v>0</v>
      </c>
      <c r="R16" s="72">
        <f t="shared" si="1"/>
        <v>0</v>
      </c>
      <c r="S16" s="62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79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80" si="3">C17-O17-N17-M17</f>
        <v>1</v>
      </c>
      <c r="Q17" s="29">
        <f t="shared" si="0"/>
        <v>18</v>
      </c>
      <c r="R17" s="72">
        <f t="shared" si="1"/>
        <v>0</v>
      </c>
      <c r="S17" s="62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79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3"/>
        <v>6</v>
      </c>
      <c r="Q18" s="29">
        <f t="shared" si="0"/>
        <v>5</v>
      </c>
      <c r="R18" s="72">
        <f t="shared" si="1"/>
        <v>0</v>
      </c>
      <c r="S18" s="62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79">
        <v>27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3"/>
        <v>10</v>
      </c>
      <c r="Q19" s="29">
        <f t="shared" si="0"/>
        <v>4</v>
      </c>
      <c r="R19" s="72">
        <f t="shared" si="1"/>
        <v>0</v>
      </c>
      <c r="S19" s="62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79">
        <v>31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3"/>
        <v>20</v>
      </c>
      <c r="Q20" s="29">
        <f t="shared" si="0"/>
        <v>4</v>
      </c>
      <c r="R20" s="72">
        <f t="shared" si="1"/>
        <v>0</v>
      </c>
      <c r="S20" s="62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79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3"/>
        <v>17</v>
      </c>
      <c r="Q21" s="29">
        <f t="shared" si="0"/>
        <v>20</v>
      </c>
      <c r="R21" s="72">
        <f t="shared" si="1"/>
        <v>0</v>
      </c>
      <c r="S21" s="62">
        <f t="shared" si="2"/>
        <v>1.5037593984962405E-2</v>
      </c>
    </row>
    <row r="22" spans="1:19" x14ac:dyDescent="0.25">
      <c r="A22" s="2">
        <v>43913</v>
      </c>
      <c r="B22" s="154">
        <v>36</v>
      </c>
      <c r="C22" s="154">
        <v>301</v>
      </c>
      <c r="D22" s="154">
        <v>0</v>
      </c>
      <c r="E22" s="1">
        <v>4</v>
      </c>
      <c r="F22" s="79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3"/>
        <v>30</v>
      </c>
      <c r="Q22" s="29">
        <f t="shared" si="0"/>
        <v>1</v>
      </c>
      <c r="R22" s="72">
        <f t="shared" si="1"/>
        <v>0</v>
      </c>
      <c r="S22" s="62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54">
        <v>2</v>
      </c>
      <c r="E23" s="1">
        <v>6</v>
      </c>
      <c r="F23" s="79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3"/>
        <v>55</v>
      </c>
      <c r="Q23" s="29">
        <f t="shared" si="0"/>
        <v>11</v>
      </c>
      <c r="R23" s="72">
        <f t="shared" si="1"/>
        <v>0</v>
      </c>
      <c r="S23" s="62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79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3"/>
        <v>150</v>
      </c>
      <c r="Q24" s="29">
        <f t="shared" si="0"/>
        <v>9</v>
      </c>
      <c r="R24" s="72">
        <f t="shared" si="1"/>
        <v>0</v>
      </c>
      <c r="S24" s="62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79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3"/>
        <v>175</v>
      </c>
      <c r="Q25" s="29">
        <f t="shared" si="0"/>
        <v>3</v>
      </c>
      <c r="R25" s="72">
        <f t="shared" si="1"/>
        <v>4.9800796812749001E-2</v>
      </c>
      <c r="S25" s="62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79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3"/>
        <v>135</v>
      </c>
      <c r="Q26" s="29">
        <f t="shared" si="0"/>
        <v>5</v>
      </c>
      <c r="R26" s="72">
        <f t="shared" si="1"/>
        <v>0</v>
      </c>
      <c r="S26" s="62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79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3"/>
        <v>151</v>
      </c>
      <c r="Q27" s="29">
        <f t="shared" si="0"/>
        <v>11</v>
      </c>
      <c r="R27" s="72">
        <f t="shared" si="1"/>
        <v>6.9291338582677164E-2</v>
      </c>
      <c r="S27" s="62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79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3"/>
        <v>170</v>
      </c>
      <c r="Q28" s="29">
        <f t="shared" si="0"/>
        <v>137</v>
      </c>
      <c r="R28" s="72">
        <f t="shared" si="1"/>
        <v>9.2657342657342656E-2</v>
      </c>
      <c r="S28" s="62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79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3"/>
        <v>269</v>
      </c>
      <c r="Q29" s="29">
        <f t="shared" si="0"/>
        <v>12</v>
      </c>
      <c r="R29" s="72">
        <f t="shared" si="1"/>
        <v>7.8459343794579167E-2</v>
      </c>
      <c r="S29" s="62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79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3"/>
        <v>229</v>
      </c>
      <c r="Q30" s="29">
        <f t="shared" si="0"/>
        <v>8</v>
      </c>
      <c r="R30" s="72">
        <f t="shared" si="1"/>
        <v>7.0694087403598976E-2</v>
      </c>
      <c r="S30" s="62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79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3"/>
        <v>203</v>
      </c>
      <c r="Q31" s="29">
        <f t="shared" si="0"/>
        <v>8</v>
      </c>
      <c r="R31" s="72">
        <f t="shared" si="1"/>
        <v>8.5308056872037921E-2</v>
      </c>
      <c r="S31" s="62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79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3"/>
        <v>143</v>
      </c>
      <c r="Q32" s="29">
        <f t="shared" si="0"/>
        <v>10</v>
      </c>
      <c r="R32" s="72">
        <f t="shared" si="1"/>
        <v>8.5239085239085244E-2</v>
      </c>
      <c r="S32" s="62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79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3"/>
        <v>124</v>
      </c>
      <c r="Q33" s="29">
        <f t="shared" si="0"/>
        <v>13</v>
      </c>
      <c r="R33" s="72">
        <f t="shared" si="1"/>
        <v>8.3333333333333329E-2</v>
      </c>
      <c r="S33" s="62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79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3"/>
        <v>168</v>
      </c>
      <c r="Q34" s="29">
        <f t="shared" si="0"/>
        <v>1</v>
      </c>
      <c r="R34" s="72">
        <f t="shared" si="1"/>
        <v>7.7127659574468085E-2</v>
      </c>
      <c r="S34" s="62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79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3"/>
        <v>175</v>
      </c>
      <c r="Q35" s="29">
        <f t="shared" si="0"/>
        <v>45</v>
      </c>
      <c r="R35" s="72">
        <f t="shared" si="1"/>
        <v>7.945900253592561E-2</v>
      </c>
      <c r="S35" s="62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79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3"/>
        <v>172</v>
      </c>
      <c r="Q36" s="29">
        <f t="shared" si="0"/>
        <v>13</v>
      </c>
      <c r="R36" s="72">
        <f t="shared" si="1"/>
        <v>7.7607113985448672E-2</v>
      </c>
      <c r="S36" s="62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79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3"/>
        <v>184</v>
      </c>
      <c r="Q37" s="29">
        <f t="shared" si="0"/>
        <v>20</v>
      </c>
      <c r="R37" s="72">
        <f t="shared" si="1"/>
        <v>7.5558982266769464E-2</v>
      </c>
      <c r="S37" s="62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79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3"/>
        <v>186</v>
      </c>
      <c r="Q38" s="29">
        <f t="shared" si="0"/>
        <v>7</v>
      </c>
      <c r="R38" s="72">
        <f t="shared" si="1"/>
        <v>7.179487179487179E-2</v>
      </c>
      <c r="S38" s="62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79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3"/>
        <v>207</v>
      </c>
      <c r="Q39" s="29">
        <f t="shared" si="0"/>
        <v>10</v>
      </c>
      <c r="R39" s="72">
        <f t="shared" si="1"/>
        <v>6.805555555555555E-2</v>
      </c>
      <c r="S39" s="62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79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3"/>
        <v>223</v>
      </c>
      <c r="Q40" s="29">
        <f t="shared" si="0"/>
        <v>65</v>
      </c>
      <c r="R40" s="72">
        <f t="shared" si="1"/>
        <v>7.9146593255333797E-2</v>
      </c>
      <c r="S40" s="62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79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3"/>
        <v>310</v>
      </c>
      <c r="Q41" s="29">
        <f t="shared" si="0"/>
        <v>28</v>
      </c>
      <c r="R41" s="72">
        <f t="shared" si="1"/>
        <v>5.2365930599369087E-2</v>
      </c>
      <c r="S41" s="62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79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3"/>
        <v>303</v>
      </c>
      <c r="Q42" s="29">
        <f t="shared" si="0"/>
        <v>47</v>
      </c>
      <c r="R42" s="72">
        <f t="shared" si="1"/>
        <v>7.07133917396746E-2</v>
      </c>
      <c r="S42" s="62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79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3"/>
        <v>303</v>
      </c>
      <c r="Q43" s="29">
        <f t="shared" si="0"/>
        <v>44</v>
      </c>
      <c r="R43" s="72">
        <f t="shared" si="1"/>
        <v>7.160493827160494E-2</v>
      </c>
      <c r="S43" s="62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79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3"/>
        <v>360</v>
      </c>
      <c r="Q44" s="29">
        <f t="shared" si="0"/>
        <v>37</v>
      </c>
      <c r="R44" s="72">
        <f t="shared" si="1"/>
        <v>6.7164179104477612E-2</v>
      </c>
      <c r="S44" s="62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79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3"/>
        <v>403</v>
      </c>
      <c r="Q45" s="29">
        <f t="shared" si="0"/>
        <v>35</v>
      </c>
      <c r="R45" s="72">
        <f t="shared" si="1"/>
        <v>6.6192560175054704E-2</v>
      </c>
      <c r="S45" s="62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79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3"/>
        <v>425</v>
      </c>
      <c r="Q46" s="29">
        <f t="shared" si="0"/>
        <v>35</v>
      </c>
      <c r="R46" s="72">
        <f t="shared" si="1"/>
        <v>6.6985645933014357E-2</v>
      </c>
      <c r="S46" s="62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79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3"/>
        <v>436</v>
      </c>
      <c r="Q47" s="29">
        <f t="shared" si="0"/>
        <v>19</v>
      </c>
      <c r="R47" s="72">
        <f t="shared" si="1"/>
        <v>6.5329218106995879E-2</v>
      </c>
      <c r="S47" s="62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79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3"/>
        <v>303</v>
      </c>
      <c r="Q48" s="29">
        <f t="shared" si="0"/>
        <v>24</v>
      </c>
      <c r="R48" s="72">
        <f t="shared" si="1"/>
        <v>6.1561561561561562E-2</v>
      </c>
      <c r="S48" s="62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79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si="3"/>
        <v>310</v>
      </c>
      <c r="Q49" s="29">
        <f t="shared" si="0"/>
        <v>28</v>
      </c>
      <c r="R49" s="72">
        <f t="shared" si="1"/>
        <v>6.0869565217391307E-2</v>
      </c>
      <c r="S49" s="62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79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3"/>
        <v>299</v>
      </c>
      <c r="Q50" s="29">
        <f t="shared" si="0"/>
        <v>103</v>
      </c>
      <c r="R50" s="72">
        <f t="shared" si="1"/>
        <v>6.2957540263543194E-2</v>
      </c>
      <c r="S50" s="62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79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3"/>
        <v>314</v>
      </c>
      <c r="Q51" s="29">
        <f t="shared" si="0"/>
        <v>32</v>
      </c>
      <c r="R51" s="72">
        <f t="shared" si="1"/>
        <v>6.1763319189061763E-2</v>
      </c>
      <c r="S51" s="62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79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3"/>
        <v>341</v>
      </c>
      <c r="Q52" s="29">
        <f t="shared" si="0"/>
        <v>47</v>
      </c>
      <c r="R52" s="72">
        <f t="shared" si="1"/>
        <v>6.1538461538461542E-2</v>
      </c>
      <c r="S52" s="62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79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3"/>
        <v>348</v>
      </c>
      <c r="Q53" s="29">
        <f t="shared" si="0"/>
        <v>57</v>
      </c>
      <c r="R53" s="72">
        <f t="shared" si="1"/>
        <v>6.1464690496948561E-2</v>
      </c>
      <c r="S53" s="62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79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3"/>
        <v>403</v>
      </c>
      <c r="Q54" s="29">
        <f t="shared" si="0"/>
        <v>54</v>
      </c>
      <c r="R54" s="72">
        <f t="shared" si="1"/>
        <v>5.9975010412328195E-2</v>
      </c>
      <c r="S54" s="62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79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3"/>
        <v>454</v>
      </c>
      <c r="Q55" s="29">
        <f t="shared" si="0"/>
        <v>77</v>
      </c>
      <c r="R55" s="72">
        <f t="shared" si="1"/>
        <v>5.5868167202572344E-2</v>
      </c>
      <c r="S55" s="62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79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3"/>
        <v>479</v>
      </c>
      <c r="Q56" s="29">
        <f t="shared" si="0"/>
        <v>33</v>
      </c>
      <c r="R56" s="72">
        <f t="shared" si="1"/>
        <v>5.8984374999999999E-2</v>
      </c>
      <c r="S56" s="62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79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3"/>
        <v>476</v>
      </c>
      <c r="Q57" s="29">
        <f t="shared" si="0"/>
        <v>22</v>
      </c>
      <c r="R57" s="72">
        <f t="shared" si="1"/>
        <v>5.8623298033282902E-2</v>
      </c>
      <c r="S57" s="62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79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3"/>
        <v>468</v>
      </c>
      <c r="Q58" s="29">
        <f t="shared" si="0"/>
        <v>30</v>
      </c>
      <c r="R58" s="72">
        <f t="shared" si="1"/>
        <v>5.6451612903225805E-2</v>
      </c>
      <c r="S58" s="62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79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3"/>
        <v>497</v>
      </c>
      <c r="Q59" s="29">
        <f t="shared" si="0"/>
        <v>64</v>
      </c>
      <c r="R59" s="72">
        <f t="shared" si="1"/>
        <v>5.5772646536412077E-2</v>
      </c>
      <c r="S59" s="62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79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3"/>
        <v>460</v>
      </c>
      <c r="Q60" s="29">
        <f t="shared" si="0"/>
        <v>36</v>
      </c>
      <c r="R60" s="72">
        <f t="shared" si="1"/>
        <v>5.3803975325565453E-2</v>
      </c>
      <c r="S60" s="62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79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3"/>
        <v>443</v>
      </c>
      <c r="Q61" s="29">
        <f t="shared" si="0"/>
        <v>28</v>
      </c>
      <c r="R61" s="72">
        <f t="shared" si="1"/>
        <v>5.4904586541680615E-2</v>
      </c>
      <c r="S61" s="62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79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3"/>
        <v>485</v>
      </c>
      <c r="Q62" s="29">
        <f t="shared" si="0"/>
        <v>34</v>
      </c>
      <c r="R62" s="72">
        <f t="shared" si="1"/>
        <v>5.307443365695793E-2</v>
      </c>
      <c r="S62" s="62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79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3"/>
        <v>474</v>
      </c>
      <c r="Q63" s="29">
        <f t="shared" si="0"/>
        <v>88</v>
      </c>
      <c r="R63" s="72">
        <f t="shared" si="1"/>
        <v>4.7157622739018086E-2</v>
      </c>
      <c r="S63" s="62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79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3"/>
        <v>449</v>
      </c>
      <c r="Q64" s="29">
        <f t="shared" si="0"/>
        <v>30</v>
      </c>
      <c r="R64" s="72">
        <f t="shared" si="1"/>
        <v>4.6909667194928686E-2</v>
      </c>
      <c r="S64" s="62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79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3"/>
        <v>441</v>
      </c>
      <c r="Q65" s="29">
        <f t="shared" si="0"/>
        <v>52</v>
      </c>
      <c r="R65" s="72">
        <f t="shared" si="1"/>
        <v>4.4245049504950493E-2</v>
      </c>
      <c r="S65" s="62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79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3"/>
        <v>479</v>
      </c>
      <c r="Q66" s="29">
        <f t="shared" si="0"/>
        <v>77</v>
      </c>
      <c r="R66" s="72">
        <f t="shared" si="1"/>
        <v>4.5290941811637675E-2</v>
      </c>
      <c r="S66" s="62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79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3"/>
        <v>473</v>
      </c>
      <c r="Q67" s="29">
        <f t="shared" si="0"/>
        <v>0</v>
      </c>
      <c r="R67" s="72">
        <f t="shared" si="1"/>
        <v>4.3291284403669722E-2</v>
      </c>
      <c r="S67" s="62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79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3"/>
        <v>567</v>
      </c>
      <c r="Q68" s="29">
        <f t="shared" si="0"/>
        <v>127</v>
      </c>
      <c r="R68" s="72">
        <f t="shared" si="1"/>
        <v>4.3732590529247911E-2</v>
      </c>
      <c r="S68" s="62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79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3"/>
        <v>613</v>
      </c>
      <c r="Q69" s="29">
        <f t="shared" si="0"/>
        <v>29</v>
      </c>
      <c r="R69" s="72">
        <f t="shared" si="1"/>
        <v>4.3022317827372952E-2</v>
      </c>
      <c r="S69" s="62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79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3"/>
        <v>670</v>
      </c>
      <c r="Q70" s="29">
        <f t="shared" ref="Q70:Q133" si="4">F70-F69</f>
        <v>80</v>
      </c>
      <c r="R70" s="72">
        <f t="shared" si="1"/>
        <v>4.2137718396711203E-2</v>
      </c>
      <c r="S70" s="62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79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3"/>
        <v>716</v>
      </c>
      <c r="Q71" s="29">
        <f t="shared" si="4"/>
        <v>25</v>
      </c>
      <c r="R71" s="72">
        <f t="shared" si="1"/>
        <v>4.1443198439785472E-2</v>
      </c>
      <c r="S71" s="62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79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3"/>
        <v>735</v>
      </c>
      <c r="Q72" s="29">
        <f t="shared" si="4"/>
        <v>404</v>
      </c>
      <c r="R72" s="72">
        <f t="shared" si="1"/>
        <v>3.6953242835595777E-2</v>
      </c>
      <c r="S72" s="62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79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3"/>
        <v>798</v>
      </c>
      <c r="Q73" s="29">
        <f t="shared" si="4"/>
        <v>119</v>
      </c>
      <c r="R73" s="72">
        <f t="shared" si="1"/>
        <v>3.5294117647058823E-2</v>
      </c>
      <c r="S73" s="62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79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3"/>
        <v>805</v>
      </c>
      <c r="Q74" s="29">
        <f t="shared" si="4"/>
        <v>112</v>
      </c>
      <c r="R74" s="72">
        <f t="shared" si="1"/>
        <v>3.4780578898225958E-2</v>
      </c>
      <c r="S74" s="62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79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3"/>
        <v>903</v>
      </c>
      <c r="Q75" s="29">
        <f t="shared" si="4"/>
        <v>37</v>
      </c>
      <c r="R75" s="72">
        <f t="shared" si="1"/>
        <v>3.2904772281542823E-2</v>
      </c>
      <c r="S75" s="62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79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3"/>
        <v>964</v>
      </c>
      <c r="Q76" s="29">
        <f t="shared" si="4"/>
        <v>35</v>
      </c>
      <c r="R76" s="72">
        <f t="shared" si="1"/>
        <v>3.160270880361174E-2</v>
      </c>
      <c r="S76" s="62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79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3"/>
        <v>1118</v>
      </c>
      <c r="Q77" s="29">
        <f t="shared" si="4"/>
        <v>56</v>
      </c>
      <c r="R77" s="72">
        <f t="shared" si="1"/>
        <v>3.125E-2</v>
      </c>
      <c r="S77" s="62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79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3"/>
        <v>1107</v>
      </c>
      <c r="Q78" s="29">
        <f t="shared" si="4"/>
        <v>247</v>
      </c>
      <c r="R78" s="72">
        <f t="shared" ref="R78:R141" si="5">G78/(C78-E78-F78)</f>
        <v>3.0486613249951142E-2</v>
      </c>
      <c r="S78" s="62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79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3"/>
        <v>1232</v>
      </c>
      <c r="Q79" s="29">
        <f t="shared" si="4"/>
        <v>61</v>
      </c>
      <c r="R79" s="72">
        <f t="shared" si="5"/>
        <v>2.9363487142075505E-2</v>
      </c>
      <c r="S79" s="62">
        <f t="shared" ref="S79:S142" si="6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79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3"/>
        <v>1351</v>
      </c>
      <c r="Q80" s="29">
        <f t="shared" si="4"/>
        <v>99</v>
      </c>
      <c r="R80" s="72">
        <f t="shared" si="5"/>
        <v>2.924076607387141E-2</v>
      </c>
      <c r="S80" s="62">
        <f t="shared" si="6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79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89" si="7">C81-O81-N81-M81</f>
        <v>1496</v>
      </c>
      <c r="Q81" s="29">
        <f t="shared" si="4"/>
        <v>30</v>
      </c>
      <c r="R81" s="72">
        <f t="shared" si="5"/>
        <v>2.66542693320936E-2</v>
      </c>
      <c r="S81" s="62">
        <f t="shared" si="6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79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7"/>
        <v>1739</v>
      </c>
      <c r="Q82" s="29">
        <f t="shared" si="4"/>
        <v>468</v>
      </c>
      <c r="R82" s="72">
        <f t="shared" si="5"/>
        <v>2.5874962608435536E-2</v>
      </c>
      <c r="S82" s="62">
        <f t="shared" si="6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79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7"/>
        <v>1907</v>
      </c>
      <c r="Q83" s="29">
        <f t="shared" si="4"/>
        <v>202</v>
      </c>
      <c r="R83" s="72">
        <f t="shared" si="5"/>
        <v>2.5222965440356744E-2</v>
      </c>
      <c r="S83" s="62">
        <f t="shared" si="6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79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7"/>
        <v>2053</v>
      </c>
      <c r="Q84" s="29">
        <f t="shared" si="4"/>
        <v>267</v>
      </c>
      <c r="R84" s="72">
        <f t="shared" si="5"/>
        <v>2.3737704918032787E-2</v>
      </c>
      <c r="S84" s="62">
        <f t="shared" si="6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79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7"/>
        <v>2052</v>
      </c>
      <c r="Q85" s="29">
        <f t="shared" si="4"/>
        <v>168</v>
      </c>
      <c r="R85" s="72">
        <f t="shared" si="5"/>
        <v>2.5394045534150613E-2</v>
      </c>
      <c r="S85" s="62">
        <f t="shared" si="6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79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7"/>
        <v>2102</v>
      </c>
      <c r="Q86" s="29">
        <f t="shared" si="4"/>
        <v>182</v>
      </c>
      <c r="R86" s="72">
        <f t="shared" si="5"/>
        <v>2.9800929789009417E-2</v>
      </c>
      <c r="S86" s="62">
        <f t="shared" si="6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79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7"/>
        <v>2187</v>
      </c>
      <c r="Q87" s="29">
        <f t="shared" si="4"/>
        <v>268</v>
      </c>
      <c r="R87" s="72">
        <f t="shared" si="5"/>
        <v>2.8811252268602542E-2</v>
      </c>
      <c r="S87" s="62">
        <f t="shared" si="6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79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7"/>
        <v>2234</v>
      </c>
      <c r="Q88" s="29">
        <f t="shared" si="4"/>
        <v>171</v>
      </c>
      <c r="R88" s="72">
        <f t="shared" si="5"/>
        <v>2.7535615564533277E-2</v>
      </c>
      <c r="S88" s="62">
        <f t="shared" si="6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79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7"/>
        <v>2316</v>
      </c>
      <c r="Q89" s="29">
        <f t="shared" si="4"/>
        <v>312</v>
      </c>
      <c r="R89" s="72">
        <f t="shared" si="5"/>
        <v>2.4900500051025613E-2</v>
      </c>
      <c r="S89" s="62">
        <f t="shared" si="6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79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ref="P90:P95" si="8">C90-O90-N90-M90</f>
        <v>2491</v>
      </c>
      <c r="Q90" s="29">
        <f t="shared" si="4"/>
        <v>236</v>
      </c>
      <c r="R90" s="72">
        <f t="shared" si="5"/>
        <v>2.4734299516908212E-2</v>
      </c>
      <c r="S90" s="62">
        <f t="shared" si="6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79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8"/>
        <v>2598</v>
      </c>
      <c r="Q91" s="29">
        <f t="shared" si="4"/>
        <v>185</v>
      </c>
      <c r="R91" s="72">
        <f t="shared" si="5"/>
        <v>2.5206190343805022E-2</v>
      </c>
      <c r="S91" s="62">
        <f t="shared" si="6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79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8"/>
        <v>2646</v>
      </c>
      <c r="Q92" s="29">
        <f t="shared" si="4"/>
        <v>188</v>
      </c>
      <c r="R92" s="72">
        <f t="shared" si="5"/>
        <v>2.430493273542601E-2</v>
      </c>
      <c r="S92" s="62">
        <f t="shared" si="6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79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8"/>
        <v>2895</v>
      </c>
      <c r="Q93" s="29">
        <f t="shared" si="4"/>
        <v>187</v>
      </c>
      <c r="R93" s="72">
        <f t="shared" si="5"/>
        <v>2.4295596423148304E-2</v>
      </c>
      <c r="S93" s="62">
        <f t="shared" si="6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79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8"/>
        <v>3133</v>
      </c>
      <c r="Q94" s="29">
        <f t="shared" si="4"/>
        <v>97</v>
      </c>
      <c r="R94" s="72">
        <f t="shared" si="5"/>
        <v>2.3085408131106207E-2</v>
      </c>
      <c r="S94" s="62">
        <f t="shared" si="6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79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8"/>
        <v>3329</v>
      </c>
      <c r="Q95" s="29">
        <f t="shared" si="4"/>
        <v>95</v>
      </c>
      <c r="R95" s="72">
        <f t="shared" si="5"/>
        <v>1.8369009702984964E-2</v>
      </c>
      <c r="S95" s="62">
        <f t="shared" si="6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79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>C96-O96-N96-M96</f>
        <v>3404</v>
      </c>
      <c r="Q96" s="29">
        <f t="shared" si="4"/>
        <v>92</v>
      </c>
      <c r="R96" s="72">
        <f t="shared" si="5"/>
        <v>1.750439367311072E-2</v>
      </c>
      <c r="S96" s="62">
        <f t="shared" si="6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79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>C97-O97-N97-M97</f>
        <v>3677</v>
      </c>
      <c r="Q97" s="29">
        <f t="shared" si="4"/>
        <v>729</v>
      </c>
      <c r="R97" s="72">
        <f t="shared" si="5"/>
        <v>1.7078061259766301E-2</v>
      </c>
      <c r="S97" s="62">
        <f t="shared" si="6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79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>C98-O98-N98-M98</f>
        <v>3892</v>
      </c>
      <c r="Q98" s="29">
        <f t="shared" si="4"/>
        <v>396</v>
      </c>
      <c r="R98" s="72">
        <f t="shared" si="5"/>
        <v>1.5851602023608771E-2</v>
      </c>
      <c r="S98" s="62">
        <f t="shared" si="6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79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>C99-O99-N99-M99</f>
        <v>3893</v>
      </c>
      <c r="Q99" s="29">
        <f t="shared" si="4"/>
        <v>263</v>
      </c>
      <c r="R99" s="72">
        <f t="shared" si="5"/>
        <v>1.7253727456214597E-2</v>
      </c>
      <c r="S99" s="62">
        <f t="shared" si="6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79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>C100-O100-N100-M100</f>
        <v>4103</v>
      </c>
      <c r="Q100" s="29">
        <f t="shared" si="4"/>
        <v>423</v>
      </c>
      <c r="R100" s="72">
        <f t="shared" si="5"/>
        <v>1.6383230548807078E-2</v>
      </c>
      <c r="S100" s="62">
        <f t="shared" si="6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79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ref="P101:P124" si="9">C101-O101-N101-M101</f>
        <v>4386</v>
      </c>
      <c r="Q101" s="29">
        <f t="shared" si="4"/>
        <v>341</v>
      </c>
      <c r="R101" s="72">
        <f t="shared" si="5"/>
        <v>1.9208037825059102E-2</v>
      </c>
      <c r="S101" s="62">
        <f t="shared" si="6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79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9"/>
        <v>4741</v>
      </c>
      <c r="Q102" s="29">
        <f t="shared" si="4"/>
        <v>411</v>
      </c>
      <c r="R102" s="72">
        <f t="shared" si="5"/>
        <v>1.6512734396865379E-2</v>
      </c>
      <c r="S102" s="62">
        <f t="shared" si="6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79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9"/>
        <v>5069</v>
      </c>
      <c r="Q103" s="29">
        <f t="shared" si="4"/>
        <v>340</v>
      </c>
      <c r="R103" s="72">
        <f t="shared" si="5"/>
        <v>1.4817950889077053E-2</v>
      </c>
      <c r="S103" s="62">
        <f t="shared" si="6"/>
        <v>2.7291058267278543E-2</v>
      </c>
    </row>
    <row r="104" spans="1:19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2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9"/>
        <v>5627</v>
      </c>
      <c r="Q104" s="29">
        <f t="shared" si="4"/>
        <v>481</v>
      </c>
      <c r="R104" s="72">
        <f t="shared" si="5"/>
        <v>1.4711789515967062E-2</v>
      </c>
      <c r="S104" s="62">
        <f t="shared" si="6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2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9"/>
        <v>6002</v>
      </c>
      <c r="Q105" s="29">
        <f t="shared" si="4"/>
        <v>327</v>
      </c>
      <c r="R105" s="72">
        <f t="shared" si="5"/>
        <v>1.5153694912003069E-2</v>
      </c>
      <c r="S105" s="62">
        <f t="shared" si="6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2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9"/>
        <v>6094</v>
      </c>
      <c r="Q106" s="29">
        <f t="shared" si="4"/>
        <v>273</v>
      </c>
      <c r="R106" s="72">
        <f t="shared" si="5"/>
        <v>1.4884917535719208E-2</v>
      </c>
      <c r="S106" s="62">
        <f t="shared" si="6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2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16">
        <f t="shared" si="9"/>
        <v>6187</v>
      </c>
      <c r="Q107" s="29">
        <f t="shared" si="4"/>
        <v>348</v>
      </c>
      <c r="R107" s="72">
        <f t="shared" si="5"/>
        <v>1.5152180596424964E-2</v>
      </c>
      <c r="S107" s="62">
        <f t="shared" si="6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2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16">
        <f t="shared" si="9"/>
        <v>6278</v>
      </c>
      <c r="Q108" s="29">
        <f t="shared" si="4"/>
        <v>209</v>
      </c>
      <c r="R108" s="72">
        <f t="shared" si="5"/>
        <v>1.4758759093569697E-2</v>
      </c>
      <c r="S108" s="62">
        <f t="shared" si="6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6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16">
        <f t="shared" si="9"/>
        <v>6694</v>
      </c>
      <c r="Q109" s="29">
        <f t="shared" si="4"/>
        <v>1130</v>
      </c>
      <c r="R109" s="72">
        <f t="shared" si="5"/>
        <v>1.4730282060620777E-2</v>
      </c>
      <c r="S109" s="62">
        <f t="shared" si="6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6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16">
        <f t="shared" si="9"/>
        <v>7140</v>
      </c>
      <c r="Q110" s="29">
        <f t="shared" si="4"/>
        <v>355</v>
      </c>
      <c r="R110" s="72">
        <f t="shared" si="5"/>
        <v>1.3795717263596741E-2</v>
      </c>
      <c r="S110" s="62">
        <f t="shared" si="6"/>
        <v>2.4740965377811473E-2</v>
      </c>
    </row>
    <row r="111" spans="1:19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6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16">
        <f t="shared" si="9"/>
        <v>7535</v>
      </c>
      <c r="Q111" s="29">
        <f t="shared" si="4"/>
        <v>522</v>
      </c>
      <c r="R111" s="72">
        <f t="shared" si="5"/>
        <v>1.3862106603601964E-2</v>
      </c>
      <c r="S111" s="62">
        <f t="shared" si="6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16">
        <f t="shared" si="9"/>
        <v>7887</v>
      </c>
      <c r="Q112" s="29">
        <f t="shared" si="4"/>
        <v>425</v>
      </c>
      <c r="R112" s="72">
        <f t="shared" si="5"/>
        <v>1.3870933929632089E-2</v>
      </c>
      <c r="S112" s="62">
        <f t="shared" si="6"/>
        <v>2.3629776790931402E-2</v>
      </c>
    </row>
    <row r="113" spans="1:19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200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 t="shared" si="9"/>
        <v>8420</v>
      </c>
      <c r="Q113" s="29">
        <f t="shared" si="4"/>
        <v>423</v>
      </c>
      <c r="R113" s="72">
        <f t="shared" si="5"/>
        <v>1.3657957244655582E-2</v>
      </c>
      <c r="S113" s="62">
        <f t="shared" si="6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0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67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f t="shared" si="9"/>
        <v>8906</v>
      </c>
      <c r="Q114" s="29">
        <f t="shared" si="4"/>
        <v>240</v>
      </c>
      <c r="R114" s="72">
        <f t="shared" si="5"/>
        <v>1.3396448239589135E-2</v>
      </c>
      <c r="S114" s="62">
        <f t="shared" si="6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0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6">
        <f t="shared" si="9"/>
        <v>9515</v>
      </c>
      <c r="Q115" s="29">
        <f t="shared" si="4"/>
        <v>972</v>
      </c>
      <c r="R115" s="72">
        <f t="shared" si="5"/>
        <v>1.3462161604854627E-2</v>
      </c>
      <c r="S115" s="62">
        <f t="shared" si="6"/>
        <v>2.2386712402960824E-2</v>
      </c>
    </row>
    <row r="116" spans="1:19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200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16">
        <f t="shared" si="9"/>
        <v>10116</v>
      </c>
      <c r="Q116" s="29">
        <f t="shared" si="4"/>
        <v>3628</v>
      </c>
      <c r="R116" s="72">
        <f t="shared" si="5"/>
        <v>1.4350430208871728E-2</v>
      </c>
      <c r="S116" s="62">
        <f t="shared" si="6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0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16">
        <f t="shared" si="9"/>
        <v>10723</v>
      </c>
      <c r="Q117" s="29">
        <f t="shared" si="4"/>
        <v>727</v>
      </c>
      <c r="R117" s="72">
        <f t="shared" si="5"/>
        <v>1.4479095270733379E-2</v>
      </c>
      <c r="S117" s="62">
        <f t="shared" si="6"/>
        <v>2.1393852881123176E-2</v>
      </c>
    </row>
    <row r="118" spans="1:19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20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16">
        <f t="shared" si="9"/>
        <v>11132</v>
      </c>
      <c r="Q118" s="29">
        <f t="shared" si="4"/>
        <v>991</v>
      </c>
      <c r="R118" s="72">
        <f t="shared" si="5"/>
        <v>1.4888882784385903E-2</v>
      </c>
      <c r="S118" s="62">
        <f t="shared" si="6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16">
        <f t="shared" si="9"/>
        <v>11671</v>
      </c>
      <c r="Q119" s="29">
        <f t="shared" si="4"/>
        <v>1004</v>
      </c>
      <c r="R119" s="72">
        <f t="shared" si="5"/>
        <v>1.4243118044832543E-2</v>
      </c>
      <c r="S119" s="62">
        <f t="shared" si="6"/>
        <v>2.057297315335458E-2</v>
      </c>
    </row>
    <row r="120" spans="1:19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200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16">
        <f t="shared" si="9"/>
        <v>11587</v>
      </c>
      <c r="Q120" s="29">
        <f t="shared" si="4"/>
        <v>890</v>
      </c>
      <c r="R120" s="72">
        <f t="shared" si="5"/>
        <v>1.4245745527349264E-2</v>
      </c>
      <c r="S120" s="62">
        <f t="shared" si="6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0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 t="shared" si="9"/>
        <v>11168</v>
      </c>
      <c r="Q121" s="29">
        <f t="shared" si="4"/>
        <v>1012</v>
      </c>
      <c r="R121" s="72">
        <f t="shared" si="5"/>
        <v>1.4334420028370206E-2</v>
      </c>
      <c r="S121" s="62">
        <f t="shared" si="6"/>
        <v>2.0254145358747869E-2</v>
      </c>
    </row>
    <row r="122" spans="1:19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200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16">
        <f t="shared" si="9"/>
        <v>11514</v>
      </c>
      <c r="Q122" s="29">
        <f t="shared" si="4"/>
        <v>1146</v>
      </c>
      <c r="R122" s="72">
        <f t="shared" si="5"/>
        <v>1.4258281325012001E-2</v>
      </c>
      <c r="S122" s="62">
        <f t="shared" si="6"/>
        <v>2.0105064214176228E-2</v>
      </c>
    </row>
    <row r="123" spans="1:19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20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16">
        <f t="shared" si="9"/>
        <v>11761</v>
      </c>
      <c r="Q123" s="29">
        <f t="shared" si="4"/>
        <v>1038</v>
      </c>
      <c r="R123" s="72">
        <f t="shared" si="5"/>
        <v>1.4308132557924859E-2</v>
      </c>
      <c r="S123" s="62">
        <f t="shared" si="6"/>
        <v>1.9802404884116612E-2</v>
      </c>
    </row>
    <row r="124" spans="1:19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200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16">
        <f t="shared" si="9"/>
        <v>12003</v>
      </c>
      <c r="Q124" s="29">
        <f t="shared" si="4"/>
        <v>706</v>
      </c>
      <c r="R124" s="72">
        <f t="shared" si="5"/>
        <v>1.4024967524604241E-2</v>
      </c>
      <c r="S124" s="62">
        <f t="shared" si="6"/>
        <v>1.9742807682796144E-2</v>
      </c>
    </row>
    <row r="125" spans="1:19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200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16">
        <f>C125-O125-N125-M125</f>
        <v>12573</v>
      </c>
      <c r="Q125" s="29">
        <f t="shared" si="4"/>
        <v>1667</v>
      </c>
      <c r="R125" s="72">
        <f t="shared" si="5"/>
        <v>1.4212276988206833E-2</v>
      </c>
      <c r="S125" s="62">
        <f t="shared" si="6"/>
        <v>1.9648163871789429E-2</v>
      </c>
    </row>
    <row r="126" spans="1:19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200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29">
        <f t="shared" si="4"/>
        <v>934</v>
      </c>
      <c r="R126" s="72">
        <f t="shared" si="5"/>
        <v>1.4149067542960001E-2</v>
      </c>
      <c r="S126" s="62">
        <f t="shared" si="6"/>
        <v>1.9366446057957978E-2</v>
      </c>
    </row>
    <row r="127" spans="1:19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200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29">
        <f t="shared" si="4"/>
        <v>1564</v>
      </c>
      <c r="R127" s="72">
        <f t="shared" si="5"/>
        <v>1.41070330120976E-2</v>
      </c>
      <c r="S127" s="62">
        <f t="shared" si="6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200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29">
        <f t="shared" si="4"/>
        <v>6407</v>
      </c>
      <c r="R128" s="72">
        <f t="shared" si="5"/>
        <v>1.4266784452296819E-2</v>
      </c>
      <c r="S128" s="62">
        <f t="shared" si="6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200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29">
        <f t="shared" si="4"/>
        <v>1811</v>
      </c>
      <c r="R129" s="72">
        <f t="shared" si="5"/>
        <v>1.4269916209433882E-2</v>
      </c>
      <c r="S129" s="62">
        <f t="shared" si="6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200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29">
        <f t="shared" si="4"/>
        <v>671</v>
      </c>
      <c r="R130" s="72">
        <f t="shared" si="5"/>
        <v>1.3243178362807074E-2</v>
      </c>
      <c r="S130" s="62">
        <f t="shared" si="6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200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29">
        <f t="shared" si="4"/>
        <v>2424</v>
      </c>
      <c r="R131" s="72">
        <f t="shared" si="5"/>
        <v>1.3483499420170214E-2</v>
      </c>
      <c r="S131" s="62">
        <f t="shared" si="6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200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29">
        <f t="shared" si="4"/>
        <v>1286</v>
      </c>
      <c r="R132" s="72">
        <f t="shared" si="5"/>
        <v>1.3225416949664176E-2</v>
      </c>
      <c r="S132" s="62">
        <f t="shared" si="6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200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29">
        <f t="shared" si="4"/>
        <v>1479</v>
      </c>
      <c r="R133" s="72">
        <f t="shared" si="5"/>
        <v>1.3573908546945408E-2</v>
      </c>
      <c r="S133" s="62">
        <f t="shared" si="6"/>
        <v>1.8419423756564104E-2</v>
      </c>
    </row>
    <row r="134" spans="1:19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200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29">
        <f t="shared" ref="Q134:Q197" si="10">F134-F133</f>
        <v>1294</v>
      </c>
      <c r="R134" s="72">
        <f t="shared" si="5"/>
        <v>1.3453797298506128E-2</v>
      </c>
      <c r="S134" s="62">
        <f t="shared" si="6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200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29">
        <f t="shared" si="10"/>
        <v>1831</v>
      </c>
      <c r="R135" s="72">
        <f t="shared" si="5"/>
        <v>1.3392547359655818E-2</v>
      </c>
      <c r="S135" s="62">
        <f t="shared" si="6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200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29">
        <f t="shared" si="10"/>
        <v>1822</v>
      </c>
      <c r="R136" s="72">
        <f t="shared" si="5"/>
        <v>1.3052175362560427E-2</v>
      </c>
      <c r="S136" s="62">
        <f t="shared" si="6"/>
        <v>1.8441885570349047E-2</v>
      </c>
    </row>
    <row r="137" spans="1:19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200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29">
        <f t="shared" si="10"/>
        <v>660</v>
      </c>
      <c r="R137" s="72">
        <f t="shared" si="5"/>
        <v>1.2609117361784675E-2</v>
      </c>
      <c r="S137" s="62">
        <f t="shared" si="6"/>
        <v>1.8399937272941116E-2</v>
      </c>
    </row>
    <row r="138" spans="1:19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200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29">
        <f t="shared" si="10"/>
        <v>0</v>
      </c>
      <c r="R138" s="72">
        <f t="shared" si="5"/>
        <v>1.2221017774675913E-2</v>
      </c>
      <c r="S138" s="62">
        <f t="shared" si="6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200">
        <v>52607</v>
      </c>
      <c r="G139" s="7">
        <v>824</v>
      </c>
      <c r="H139" s="4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29">
        <f t="shared" si="10"/>
        <v>2827</v>
      </c>
      <c r="R139" s="72">
        <f t="shared" si="5"/>
        <v>1.2157157821744199E-2</v>
      </c>
      <c r="S139" s="62">
        <f t="shared" si="6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200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29">
        <f t="shared" si="10"/>
        <v>3306</v>
      </c>
      <c r="R140" s="72">
        <f t="shared" si="5"/>
        <v>1.2262612140277292E-2</v>
      </c>
      <c r="S140" s="62">
        <f t="shared" si="6"/>
        <v>1.7818144547726608E-2</v>
      </c>
    </row>
    <row r="141" spans="1:19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11">E140+D141</f>
        <v>2373</v>
      </c>
      <c r="F141" s="200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29">
        <f t="shared" si="10"/>
        <v>2685</v>
      </c>
      <c r="R141" s="72">
        <f t="shared" si="5"/>
        <v>1.2220105153073649E-2</v>
      </c>
      <c r="S141" s="62">
        <f t="shared" si="6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12">C141+B142</f>
        <v>136118</v>
      </c>
      <c r="D142" s="4">
        <v>117</v>
      </c>
      <c r="E142" s="7">
        <f t="shared" si="11"/>
        <v>2490</v>
      </c>
      <c r="F142" s="200">
        <v>60531</v>
      </c>
      <c r="G142" s="4">
        <v>890</v>
      </c>
      <c r="H142" s="41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29">
        <f t="shared" si="10"/>
        <v>1933</v>
      </c>
      <c r="R142" s="72">
        <f t="shared" ref="R142:R147" si="13">G142/(C142-E142-F142)</f>
        <v>1.2175602281899393E-2</v>
      </c>
      <c r="S142" s="62">
        <f t="shared" si="6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12"/>
        <v>141900</v>
      </c>
      <c r="D143" s="4">
        <v>98</v>
      </c>
      <c r="E143" s="7">
        <f t="shared" si="11"/>
        <v>2588</v>
      </c>
      <c r="F143" s="200">
        <v>62815</v>
      </c>
      <c r="G143" s="4">
        <v>902</v>
      </c>
      <c r="H143" s="41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29">
        <f t="shared" si="10"/>
        <v>2284</v>
      </c>
      <c r="R143" s="72">
        <f t="shared" si="13"/>
        <v>1.1791312077597814E-2</v>
      </c>
      <c r="S143" s="62">
        <f t="shared" ref="S143:S196" si="14">E143/C143</f>
        <v>1.8238195912614517E-2</v>
      </c>
    </row>
    <row r="144" spans="1:19" x14ac:dyDescent="0.25">
      <c r="A144" s="2">
        <v>44035</v>
      </c>
      <c r="B144" s="43">
        <v>6127</v>
      </c>
      <c r="C144" s="7">
        <f t="shared" si="12"/>
        <v>148027</v>
      </c>
      <c r="D144" s="4">
        <f>29+85</f>
        <v>114</v>
      </c>
      <c r="E144" s="7">
        <f t="shared" si="11"/>
        <v>2702</v>
      </c>
      <c r="F144" s="200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29">
        <f t="shared" si="10"/>
        <v>2632</v>
      </c>
      <c r="R144" s="72">
        <f t="shared" si="13"/>
        <v>1.1429930644232455E-2</v>
      </c>
      <c r="S144" s="62">
        <f t="shared" si="14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12"/>
        <v>153520</v>
      </c>
      <c r="D145" s="4">
        <f>20+85</f>
        <v>105</v>
      </c>
      <c r="E145" s="7">
        <f t="shared" si="11"/>
        <v>2807</v>
      </c>
      <c r="F145" s="200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4">
        <f>153520-O145-N145-M145</f>
        <v>26463</v>
      </c>
      <c r="Q145" s="29">
        <f t="shared" si="10"/>
        <v>2575</v>
      </c>
      <c r="R145" s="72">
        <f t="shared" si="13"/>
        <v>1.1549019844964991E-2</v>
      </c>
      <c r="S145" s="62">
        <f t="shared" si="14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12"/>
        <v>158334</v>
      </c>
      <c r="D146" s="4">
        <v>86</v>
      </c>
      <c r="E146" s="7">
        <f t="shared" si="11"/>
        <v>2893</v>
      </c>
      <c r="F146" s="200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29">
        <f t="shared" si="10"/>
        <v>2496</v>
      </c>
      <c r="R146" s="72">
        <f t="shared" si="13"/>
        <v>1.1539865525240512E-2</v>
      </c>
      <c r="S146" s="62">
        <f t="shared" si="14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12"/>
        <v>162526</v>
      </c>
      <c r="D147" s="4">
        <v>45</v>
      </c>
      <c r="E147" s="7">
        <f>E146+D147</f>
        <v>2938</v>
      </c>
      <c r="F147" s="200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29">
        <f t="shared" si="10"/>
        <v>2057</v>
      </c>
      <c r="R147" s="72">
        <f t="shared" si="13"/>
        <v>1.1412087848942112E-2</v>
      </c>
      <c r="S147" s="62">
        <f t="shared" si="14"/>
        <v>1.8077107662773956E-2</v>
      </c>
    </row>
    <row r="148" spans="1:19" x14ac:dyDescent="0.25">
      <c r="A148" s="73">
        <v>44039</v>
      </c>
      <c r="B148" s="4">
        <v>4890</v>
      </c>
      <c r="C148" s="7">
        <f t="shared" si="12"/>
        <v>167416</v>
      </c>
      <c r="D148" s="7">
        <f>17+104</f>
        <v>121</v>
      </c>
      <c r="E148" s="7">
        <f>E147+D148</f>
        <v>3059</v>
      </c>
      <c r="F148" s="200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29">
        <f t="shared" si="10"/>
        <v>2508</v>
      </c>
      <c r="R148" s="72">
        <f t="shared" ref="R148:R160" si="15">G148/(C148-E148-F148)</f>
        <v>1.1223872572081458E-2</v>
      </c>
      <c r="S148" s="62">
        <f t="shared" si="14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12"/>
        <v>173355</v>
      </c>
      <c r="D149" s="7">
        <f>23+97</f>
        <v>120</v>
      </c>
      <c r="E149" s="7">
        <v>3178</v>
      </c>
      <c r="F149" s="200">
        <v>77855</v>
      </c>
      <c r="G149" s="4">
        <v>1024</v>
      </c>
      <c r="H149" s="4">
        <v>14899</v>
      </c>
      <c r="I149" s="19">
        <v>675011</v>
      </c>
      <c r="J149" s="7">
        <f t="shared" ref="J149:J180" si="16">L149-K149</f>
        <v>785.48800000001211</v>
      </c>
      <c r="K149" s="7">
        <f t="shared" ref="K149:K160" si="17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29">
        <f t="shared" si="10"/>
        <v>2772</v>
      </c>
      <c r="R149" s="72">
        <f t="shared" si="15"/>
        <v>1.1091614133142696E-2</v>
      </c>
      <c r="S149" s="62">
        <f t="shared" si="14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12"/>
        <v>178996</v>
      </c>
      <c r="D150" s="4">
        <v>110</v>
      </c>
      <c r="E150" s="7">
        <f>E149+D150</f>
        <v>3288</v>
      </c>
      <c r="F150" s="200">
        <v>80596</v>
      </c>
      <c r="G150" s="4">
        <v>1057</v>
      </c>
      <c r="H150" s="4">
        <v>15812</v>
      </c>
      <c r="I150" s="19">
        <v>690823</v>
      </c>
      <c r="J150" s="7">
        <f t="shared" si="16"/>
        <v>801.66200000001118</v>
      </c>
      <c r="K150" s="7">
        <f t="shared" si="17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29">
        <f t="shared" si="10"/>
        <v>2741</v>
      </c>
      <c r="R150" s="72">
        <f t="shared" si="15"/>
        <v>1.1113213895197241E-2</v>
      </c>
      <c r="S150" s="62">
        <f t="shared" si="14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12"/>
        <v>185373</v>
      </c>
      <c r="D151" s="4">
        <f>23+131</f>
        <v>154</v>
      </c>
      <c r="E151" s="7">
        <f>E150+D151</f>
        <v>3442</v>
      </c>
      <c r="F151" s="200">
        <v>83780</v>
      </c>
      <c r="G151" s="4">
        <v>1076</v>
      </c>
      <c r="H151" s="4">
        <v>16685</v>
      </c>
      <c r="I151" s="4">
        <v>707508</v>
      </c>
      <c r="J151" s="7">
        <f t="shared" si="16"/>
        <v>818.0800000000163</v>
      </c>
      <c r="K151" s="7">
        <f t="shared" si="17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29">
        <f t="shared" si="10"/>
        <v>3184</v>
      </c>
      <c r="R151" s="72">
        <f t="shared" si="15"/>
        <v>1.0962700329084777E-2</v>
      </c>
      <c r="S151" s="62">
        <f t="shared" si="14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12"/>
        <v>191302</v>
      </c>
      <c r="D152" s="4">
        <f>25+77</f>
        <v>102</v>
      </c>
      <c r="E152" s="7">
        <f>E151+D152</f>
        <v>3544</v>
      </c>
      <c r="F152" s="200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6"/>
        <v>833.97600000002421</v>
      </c>
      <c r="K152" s="7">
        <f t="shared" si="17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29">
        <f t="shared" si="10"/>
        <v>2719</v>
      </c>
      <c r="R152" s="72">
        <f t="shared" si="15"/>
        <v>1.0902734571741771E-2</v>
      </c>
      <c r="S152" s="62">
        <f t="shared" si="14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12"/>
        <v>196543</v>
      </c>
      <c r="D153" s="4">
        <f>15+38</f>
        <v>53</v>
      </c>
      <c r="E153" s="7">
        <v>3596</v>
      </c>
      <c r="F153" s="200">
        <v>89026</v>
      </c>
      <c r="G153" s="4">
        <v>1128</v>
      </c>
      <c r="H153" s="4">
        <v>13057</v>
      </c>
      <c r="I153" s="4">
        <v>736007</v>
      </c>
      <c r="J153" s="7">
        <f t="shared" si="16"/>
        <v>846.24599999998463</v>
      </c>
      <c r="K153" s="7">
        <f t="shared" si="17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29">
        <f t="shared" si="10"/>
        <v>2527</v>
      </c>
      <c r="R153" s="72">
        <f t="shared" si="15"/>
        <v>1.0854399014636118E-2</v>
      </c>
      <c r="S153" s="62">
        <f t="shared" si="14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12"/>
        <v>201919</v>
      </c>
      <c r="D154" s="4">
        <f>15+36</f>
        <v>51</v>
      </c>
      <c r="E154" s="7">
        <f t="shared" ref="E154:E159" si="18">E153+D154</f>
        <v>3647</v>
      </c>
      <c r="F154" s="200">
        <v>91302</v>
      </c>
      <c r="G154" s="4">
        <v>1112</v>
      </c>
      <c r="H154" s="4">
        <v>11900</v>
      </c>
      <c r="I154" s="4">
        <v>747907</v>
      </c>
      <c r="J154" s="7">
        <f t="shared" si="16"/>
        <v>856.68800000002375</v>
      </c>
      <c r="K154" s="7">
        <f t="shared" si="17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29">
        <f t="shared" si="10"/>
        <v>2276</v>
      </c>
      <c r="R154" s="72">
        <f t="shared" si="15"/>
        <v>1.0395437973263533E-2</v>
      </c>
      <c r="S154" s="62">
        <f t="shared" si="14"/>
        <v>1.8061698007616915E-2</v>
      </c>
    </row>
    <row r="155" spans="1:19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8"/>
        <v>3811</v>
      </c>
      <c r="F155" s="200">
        <v>94129</v>
      </c>
      <c r="G155" s="4">
        <v>1150</v>
      </c>
      <c r="H155" s="4">
        <v>12839</v>
      </c>
      <c r="I155" s="4">
        <v>760746</v>
      </c>
      <c r="J155" s="7">
        <f t="shared" si="16"/>
        <v>869.87800000002608</v>
      </c>
      <c r="K155" s="7">
        <f t="shared" si="17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29">
        <f t="shared" si="10"/>
        <v>2827</v>
      </c>
      <c r="R155" s="72">
        <f t="shared" si="15"/>
        <v>1.0569561501061552E-2</v>
      </c>
      <c r="S155" s="62">
        <f t="shared" si="14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18"/>
        <v>3979</v>
      </c>
      <c r="F156" s="200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6"/>
        <v>885.76199999998789</v>
      </c>
      <c r="K156" s="7">
        <f t="shared" si="17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29">
        <f t="shared" si="10"/>
        <v>2819</v>
      </c>
      <c r="R156" s="72">
        <f t="shared" si="15"/>
        <v>1.0718599033816426E-2</v>
      </c>
      <c r="S156" s="62">
        <f t="shared" si="14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8"/>
        <v>4106</v>
      </c>
      <c r="F157" s="200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6"/>
        <v>902.90999999997439</v>
      </c>
      <c r="K157" s="7">
        <f t="shared" si="17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29">
        <f t="shared" si="10"/>
        <v>2904</v>
      </c>
      <c r="R157" s="72">
        <f t="shared" si="15"/>
        <v>1.0443439224152702E-2</v>
      </c>
      <c r="S157" s="62">
        <f t="shared" si="14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8"/>
        <v>4251</v>
      </c>
      <c r="F158" s="200">
        <v>103297</v>
      </c>
      <c r="G158" s="4">
        <v>1245</v>
      </c>
      <c r="H158" s="4">
        <v>18020</v>
      </c>
      <c r="I158" s="4">
        <v>812564</v>
      </c>
      <c r="J158" s="7">
        <f t="shared" si="16"/>
        <v>919.37199999997392</v>
      </c>
      <c r="K158" s="7">
        <f t="shared" si="17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29">
        <f t="shared" si="10"/>
        <v>3445</v>
      </c>
      <c r="R158" s="72">
        <f t="shared" si="15"/>
        <v>1.0319361442887101E-2</v>
      </c>
      <c r="S158" s="62">
        <f t="shared" si="14"/>
        <v>1.8628804312101493E-2</v>
      </c>
    </row>
    <row r="159" spans="1:19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18"/>
        <v>4411</v>
      </c>
      <c r="F159" s="200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6"/>
        <v>940.32600000000093</v>
      </c>
      <c r="K159" s="7">
        <f t="shared" si="17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29">
        <f t="shared" si="10"/>
        <v>4945</v>
      </c>
      <c r="R159" s="72">
        <f t="shared" si="15"/>
        <v>1.0510144362075693E-2</v>
      </c>
      <c r="S159" s="62">
        <f t="shared" si="14"/>
        <v>1.8716293910733758E-2</v>
      </c>
    </row>
    <row r="160" spans="1:19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19">E159+D160</f>
        <v>4523</v>
      </c>
      <c r="F160" s="200">
        <v>170109</v>
      </c>
      <c r="G160" s="4">
        <v>1502</v>
      </c>
      <c r="H160" s="4">
        <v>15163</v>
      </c>
      <c r="I160" s="4">
        <v>845220</v>
      </c>
      <c r="J160" s="7">
        <f t="shared" si="16"/>
        <v>955.79399999999441</v>
      </c>
      <c r="K160" s="7">
        <f t="shared" si="17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29">
        <f t="shared" si="10"/>
        <v>61867</v>
      </c>
      <c r="R160" s="72">
        <f t="shared" si="15"/>
        <v>2.2358177406630049E-2</v>
      </c>
      <c r="S160" s="62">
        <f t="shared" si="14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20">C160+B161</f>
        <v>246499</v>
      </c>
      <c r="D161" s="4">
        <v>83</v>
      </c>
      <c r="E161" s="7">
        <f t="shared" si="19"/>
        <v>4606</v>
      </c>
      <c r="F161" s="200">
        <v>174974</v>
      </c>
      <c r="G161" s="4">
        <v>1565</v>
      </c>
      <c r="H161" s="4">
        <v>10835</v>
      </c>
      <c r="I161" s="4">
        <v>856055</v>
      </c>
      <c r="J161" s="7">
        <f t="shared" si="16"/>
        <v>966.1020000000135</v>
      </c>
      <c r="K161" s="7">
        <f t="shared" ref="K161:K178" si="21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29">
        <f t="shared" si="10"/>
        <v>4865</v>
      </c>
      <c r="R161" s="72">
        <f>G161/(C161-E161-F161)</f>
        <v>2.3386482165005454E-2</v>
      </c>
      <c r="S161" s="62">
        <f t="shared" si="14"/>
        <v>1.8685674181233999E-2</v>
      </c>
    </row>
    <row r="162" spans="1:19" x14ac:dyDescent="0.25">
      <c r="A162" s="73">
        <v>44053</v>
      </c>
      <c r="B162" s="12">
        <v>7369</v>
      </c>
      <c r="C162" s="7">
        <f t="shared" si="20"/>
        <v>253868</v>
      </c>
      <c r="D162" s="4">
        <f>27+131</f>
        <v>158</v>
      </c>
      <c r="E162" s="7">
        <f t="shared" si="19"/>
        <v>4764</v>
      </c>
      <c r="F162" s="200">
        <v>181398</v>
      </c>
      <c r="G162" s="4">
        <v>1569</v>
      </c>
      <c r="H162" s="4">
        <v>16588</v>
      </c>
      <c r="I162" s="4">
        <v>872643</v>
      </c>
      <c r="J162" s="7">
        <f t="shared" si="16"/>
        <v>983.05200000002515</v>
      </c>
      <c r="K162" s="7">
        <f t="shared" si="21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29">
        <f t="shared" si="10"/>
        <v>6424</v>
      </c>
      <c r="R162" s="72">
        <f t="shared" ref="R162:R205" si="22">G162/(C162-E162-F162)</f>
        <v>2.3173721679024015E-2</v>
      </c>
      <c r="S162" s="62">
        <f t="shared" si="14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20"/>
        <v>260911</v>
      </c>
      <c r="D163" s="4">
        <f>21+220</f>
        <v>241</v>
      </c>
      <c r="E163" s="7">
        <f t="shared" si="19"/>
        <v>5005</v>
      </c>
      <c r="F163" s="200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6"/>
        <v>1003.3040000000037</v>
      </c>
      <c r="K163" s="7">
        <f t="shared" si="21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29">
        <f t="shared" si="10"/>
        <v>5885</v>
      </c>
      <c r="R163" s="72">
        <f t="shared" si="22"/>
        <v>2.3097212304912348E-2</v>
      </c>
      <c r="S163" s="62">
        <f t="shared" si="14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20"/>
        <v>268574</v>
      </c>
      <c r="D164" s="7">
        <f>84+125</f>
        <v>209</v>
      </c>
      <c r="E164" s="7">
        <f t="shared" si="19"/>
        <v>5214</v>
      </c>
      <c r="F164" s="200">
        <v>192434</v>
      </c>
      <c r="G164" s="4">
        <v>1662</v>
      </c>
      <c r="H164" s="4">
        <v>19779</v>
      </c>
      <c r="I164" s="4">
        <v>911596</v>
      </c>
      <c r="J164" s="7">
        <f t="shared" si="16"/>
        <v>1024.2339999999967</v>
      </c>
      <c r="K164" s="7">
        <f t="shared" si="21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29">
        <f t="shared" si="10"/>
        <v>5151</v>
      </c>
      <c r="R164" s="72">
        <f t="shared" si="22"/>
        <v>2.3432873699348617E-2</v>
      </c>
      <c r="S164" s="62">
        <f t="shared" si="14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20"/>
        <v>276072</v>
      </c>
      <c r="D165" s="7">
        <f>33+116</f>
        <v>149</v>
      </c>
      <c r="E165" s="7">
        <f t="shared" si="19"/>
        <v>5363</v>
      </c>
      <c r="F165" s="200">
        <v>199005</v>
      </c>
      <c r="G165" s="4">
        <v>1682</v>
      </c>
      <c r="H165" s="4">
        <v>18501</v>
      </c>
      <c r="I165" s="4">
        <v>930097</v>
      </c>
      <c r="J165" s="7">
        <f t="shared" si="16"/>
        <v>1045.8319999999949</v>
      </c>
      <c r="K165" s="7">
        <f t="shared" si="21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29">
        <f t="shared" si="10"/>
        <v>6571</v>
      </c>
      <c r="R165" s="72">
        <f t="shared" si="22"/>
        <v>2.3457547696083901E-2</v>
      </c>
      <c r="S165" s="62">
        <f t="shared" si="14"/>
        <v>1.9426091744182677E-2</v>
      </c>
    </row>
    <row r="166" spans="1:19" x14ac:dyDescent="0.25">
      <c r="A166" s="2">
        <v>44057</v>
      </c>
      <c r="B166" s="34">
        <v>6365</v>
      </c>
      <c r="C166" s="7">
        <f t="shared" si="20"/>
        <v>282437</v>
      </c>
      <c r="D166" s="4">
        <f>66+99</f>
        <v>165</v>
      </c>
      <c r="E166" s="7">
        <f t="shared" ref="E166:E171" si="23">E165+D166</f>
        <v>5528</v>
      </c>
      <c r="F166" s="200">
        <v>205697</v>
      </c>
      <c r="G166" s="4">
        <v>1718</v>
      </c>
      <c r="H166" s="4">
        <v>19073</v>
      </c>
      <c r="I166" s="4">
        <v>949170</v>
      </c>
      <c r="J166" s="7">
        <f t="shared" si="16"/>
        <v>1066.9579999999842</v>
      </c>
      <c r="K166" s="7">
        <f t="shared" si="21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29">
        <f t="shared" si="10"/>
        <v>6692</v>
      </c>
      <c r="R166" s="72">
        <f t="shared" si="22"/>
        <v>2.4125147447059483E-2</v>
      </c>
      <c r="S166" s="62">
        <f t="shared" si="14"/>
        <v>1.9572506435063395E-2</v>
      </c>
    </row>
    <row r="167" spans="1:19" x14ac:dyDescent="0.25">
      <c r="A167" s="65">
        <v>44058</v>
      </c>
      <c r="B167" s="4">
        <v>6663</v>
      </c>
      <c r="C167" s="7">
        <f t="shared" si="20"/>
        <v>289100</v>
      </c>
      <c r="D167" s="4">
        <f>38+72-1</f>
        <v>109</v>
      </c>
      <c r="E167" s="7">
        <f t="shared" si="23"/>
        <v>5637</v>
      </c>
      <c r="F167" s="200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6"/>
        <v>1086.1879999999655</v>
      </c>
      <c r="K167" s="7">
        <f t="shared" si="21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29">
        <f t="shared" si="10"/>
        <v>6005</v>
      </c>
      <c r="R167" s="72">
        <f t="shared" si="22"/>
        <v>2.3912710246512731E-2</v>
      </c>
      <c r="S167" s="62">
        <f t="shared" si="14"/>
        <v>1.9498443445174679E-2</v>
      </c>
    </row>
    <row r="168" spans="1:19" x14ac:dyDescent="0.25">
      <c r="A168" s="65">
        <v>44059</v>
      </c>
      <c r="B168" s="4">
        <v>5469</v>
      </c>
      <c r="C168" s="7">
        <f t="shared" si="20"/>
        <v>294569</v>
      </c>
      <c r="D168" s="4">
        <f>20+46</f>
        <v>66</v>
      </c>
      <c r="E168" s="7">
        <f t="shared" si="23"/>
        <v>5703</v>
      </c>
      <c r="F168" s="200">
        <v>217850</v>
      </c>
      <c r="G168" s="4">
        <v>1708</v>
      </c>
      <c r="H168" s="4">
        <v>14533</v>
      </c>
      <c r="I168" s="4">
        <v>981459</v>
      </c>
      <c r="J168" s="7">
        <f t="shared" si="16"/>
        <v>1101.25</v>
      </c>
      <c r="K168" s="7">
        <f t="shared" si="21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29">
        <f t="shared" si="10"/>
        <v>6148</v>
      </c>
      <c r="R168" s="72">
        <f t="shared" si="22"/>
        <v>2.4050918102962712E-2</v>
      </c>
      <c r="S168" s="62">
        <f t="shared" si="14"/>
        <v>1.9360489392977537E-2</v>
      </c>
    </row>
    <row r="169" spans="1:19" x14ac:dyDescent="0.25">
      <c r="A169" s="73">
        <v>44060</v>
      </c>
      <c r="B169" s="4">
        <v>4557</v>
      </c>
      <c r="C169" s="7">
        <f t="shared" si="20"/>
        <v>299126</v>
      </c>
      <c r="D169" s="4">
        <f>47+64</f>
        <v>111</v>
      </c>
      <c r="E169" s="7">
        <f t="shared" si="23"/>
        <v>5814</v>
      </c>
      <c r="F169" s="200">
        <v>223531</v>
      </c>
      <c r="G169" s="47">
        <v>1749</v>
      </c>
      <c r="H169" s="47">
        <v>13483</v>
      </c>
      <c r="I169" s="47">
        <f t="shared" ref="I169:I176" si="24">I168+H169</f>
        <v>994942</v>
      </c>
      <c r="J169" s="7">
        <f t="shared" si="16"/>
        <v>1116.6300000000047</v>
      </c>
      <c r="K169" s="7">
        <f t="shared" si="21"/>
        <v>557198.37</v>
      </c>
      <c r="L169" s="4">
        <v>558315</v>
      </c>
      <c r="M169" s="4">
        <v>1157</v>
      </c>
      <c r="N169" s="4">
        <v>76226</v>
      </c>
      <c r="O169" s="4">
        <v>180483</v>
      </c>
      <c r="P169" s="4">
        <f>299126-O169-N169-M169</f>
        <v>41260</v>
      </c>
      <c r="Q169" s="29">
        <f t="shared" si="10"/>
        <v>5681</v>
      </c>
      <c r="R169" s="72">
        <f t="shared" si="22"/>
        <v>2.5064129204224645E-2</v>
      </c>
      <c r="S169" s="62">
        <f t="shared" si="14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5">C169+B170</f>
        <v>305966</v>
      </c>
      <c r="D170" s="4">
        <f>63+170</f>
        <v>233</v>
      </c>
      <c r="E170" s="7">
        <f t="shared" si="23"/>
        <v>6047</v>
      </c>
      <c r="F170" s="200">
        <v>228725</v>
      </c>
      <c r="G170" s="4">
        <v>1799</v>
      </c>
      <c r="H170" s="4">
        <v>18037</v>
      </c>
      <c r="I170" s="4">
        <f t="shared" si="24"/>
        <v>1012979</v>
      </c>
      <c r="J170" s="7">
        <f t="shared" si="16"/>
        <v>1136.4399999999441</v>
      </c>
      <c r="K170" s="7">
        <f t="shared" si="21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29">
        <f t="shared" si="10"/>
        <v>5194</v>
      </c>
      <c r="R170" s="72">
        <f t="shared" si="22"/>
        <v>2.5268983341292805E-2</v>
      </c>
      <c r="S170" s="62">
        <f t="shared" si="14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5"/>
        <v>312659</v>
      </c>
      <c r="D171" s="4">
        <f>217+66</f>
        <v>283</v>
      </c>
      <c r="E171" s="7">
        <f t="shared" si="23"/>
        <v>6330</v>
      </c>
      <c r="F171" s="200">
        <v>233651</v>
      </c>
      <c r="G171" s="4">
        <v>1795</v>
      </c>
      <c r="H171" s="4">
        <v>18013</v>
      </c>
      <c r="I171" s="4">
        <f t="shared" si="24"/>
        <v>1030992</v>
      </c>
      <c r="J171" s="7">
        <f t="shared" si="16"/>
        <v>1156.0860000000102</v>
      </c>
      <c r="K171" s="7">
        <f t="shared" si="21"/>
        <v>576886.91399999999</v>
      </c>
      <c r="L171" s="4">
        <v>578043</v>
      </c>
      <c r="M171" s="4">
        <v>1163</v>
      </c>
      <c r="N171" s="4">
        <v>79219</v>
      </c>
      <c r="O171" s="4">
        <v>191037</v>
      </c>
      <c r="P171" s="7">
        <f>C171-O171-N171-M171</f>
        <v>41240</v>
      </c>
      <c r="Q171" s="29">
        <f t="shared" si="10"/>
        <v>4926</v>
      </c>
      <c r="R171" s="72">
        <f t="shared" si="22"/>
        <v>2.4697982883403507E-2</v>
      </c>
      <c r="S171" s="62">
        <f t="shared" si="14"/>
        <v>2.0245698988354724E-2</v>
      </c>
    </row>
    <row r="172" spans="1:19" x14ac:dyDescent="0.25">
      <c r="A172" s="2">
        <v>44063</v>
      </c>
      <c r="B172" s="80">
        <v>8225</v>
      </c>
      <c r="C172" s="7">
        <f t="shared" si="25"/>
        <v>320884</v>
      </c>
      <c r="D172" s="4">
        <f>111+75</f>
        <v>186</v>
      </c>
      <c r="E172" s="7">
        <f>E171+D172</f>
        <v>6516</v>
      </c>
      <c r="F172" s="200">
        <v>239806</v>
      </c>
      <c r="G172" s="4">
        <v>1832</v>
      </c>
      <c r="H172" s="4">
        <v>21695</v>
      </c>
      <c r="I172" s="4">
        <f t="shared" si="24"/>
        <v>1052687</v>
      </c>
      <c r="J172" s="7">
        <f t="shared" si="16"/>
        <v>1178.905999999959</v>
      </c>
      <c r="K172" s="7">
        <f t="shared" si="21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Q172" s="29">
        <f t="shared" si="10"/>
        <v>6155</v>
      </c>
      <c r="R172" s="72">
        <f t="shared" si="22"/>
        <v>2.4570156379925431E-2</v>
      </c>
      <c r="S172" s="62">
        <f t="shared" si="14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5"/>
        <v>329043</v>
      </c>
      <c r="D173" s="4">
        <f>50+164</f>
        <v>214</v>
      </c>
      <c r="E173" s="7">
        <f>E172+D173</f>
        <v>6730</v>
      </c>
      <c r="F173" s="200">
        <v>245781</v>
      </c>
      <c r="G173" s="47">
        <v>1853</v>
      </c>
      <c r="H173" s="47">
        <v>21032</v>
      </c>
      <c r="I173" s="47">
        <f t="shared" si="24"/>
        <v>1073719</v>
      </c>
      <c r="J173" s="7">
        <f t="shared" si="16"/>
        <v>1201.0119999999879</v>
      </c>
      <c r="K173" s="7">
        <f t="shared" si="21"/>
        <v>599304.98800000001</v>
      </c>
      <c r="L173" s="4">
        <v>600506</v>
      </c>
      <c r="M173" s="4">
        <v>1175</v>
      </c>
      <c r="N173" s="4">
        <v>82187</v>
      </c>
      <c r="O173" s="4">
        <v>201933</v>
      </c>
      <c r="P173" s="7">
        <f>C173-O173-N173-M173</f>
        <v>43748</v>
      </c>
      <c r="Q173" s="29">
        <f t="shared" si="10"/>
        <v>5975</v>
      </c>
      <c r="R173" s="72">
        <f t="shared" si="22"/>
        <v>2.4212094287356923E-2</v>
      </c>
      <c r="S173" s="62">
        <f t="shared" si="14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5"/>
        <v>336802</v>
      </c>
      <c r="D174" s="4">
        <v>118</v>
      </c>
      <c r="E174" s="7">
        <f>E173+D174</f>
        <v>6848</v>
      </c>
      <c r="F174" s="200">
        <v>251400</v>
      </c>
      <c r="G174" s="47">
        <v>1907</v>
      </c>
      <c r="H174" s="47">
        <v>18837</v>
      </c>
      <c r="I174" s="47">
        <f t="shared" si="24"/>
        <v>1092556</v>
      </c>
      <c r="J174" s="7">
        <f t="shared" si="16"/>
        <v>1220.3220000000438</v>
      </c>
      <c r="K174" s="7">
        <f t="shared" si="21"/>
        <v>608940.67799999996</v>
      </c>
      <c r="L174" s="4">
        <v>610161</v>
      </c>
      <c r="M174" s="4">
        <v>1178</v>
      </c>
      <c r="N174" s="4">
        <v>83443</v>
      </c>
      <c r="O174" s="4">
        <v>205996</v>
      </c>
      <c r="P174" s="7">
        <f>C174-O174-N174-M174</f>
        <v>46185</v>
      </c>
      <c r="Q174" s="29">
        <f t="shared" si="10"/>
        <v>5619</v>
      </c>
      <c r="R174" s="72">
        <f t="shared" si="22"/>
        <v>2.4276294014308628E-2</v>
      </c>
      <c r="S174" s="62">
        <f t="shared" si="14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5"/>
        <v>342154</v>
      </c>
      <c r="D175" s="4">
        <f>99+37</f>
        <v>136</v>
      </c>
      <c r="E175" s="7">
        <f>E174+D175</f>
        <v>6984</v>
      </c>
      <c r="F175" s="200">
        <v>256789</v>
      </c>
      <c r="G175" s="4">
        <v>1922</v>
      </c>
      <c r="H175" s="4">
        <v>13322</v>
      </c>
      <c r="I175" s="4">
        <f t="shared" si="24"/>
        <v>1105878</v>
      </c>
      <c r="J175" s="7">
        <f t="shared" si="16"/>
        <v>1234.4039999999804</v>
      </c>
      <c r="K175" s="7">
        <f t="shared" si="21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8" si="26">C175-O175-N175-M175</f>
        <v>47516</v>
      </c>
      <c r="Q175" s="29">
        <f t="shared" si="10"/>
        <v>5389</v>
      </c>
      <c r="R175" s="72">
        <f t="shared" si="22"/>
        <v>2.4521248772023833E-2</v>
      </c>
      <c r="S175" s="62">
        <f t="shared" si="14"/>
        <v>2.041186132560192E-2</v>
      </c>
    </row>
    <row r="176" spans="1:19" x14ac:dyDescent="0.25">
      <c r="A176" s="73">
        <v>44067</v>
      </c>
      <c r="B176" s="4">
        <v>8713</v>
      </c>
      <c r="C176" s="7">
        <f t="shared" si="25"/>
        <v>350867</v>
      </c>
      <c r="D176" s="4">
        <f>95+286</f>
        <v>381</v>
      </c>
      <c r="E176" s="7">
        <f>D176+E175</f>
        <v>7365</v>
      </c>
      <c r="F176" s="200">
        <v>263202</v>
      </c>
      <c r="G176" s="4">
        <v>1960</v>
      </c>
      <c r="H176" s="4">
        <v>21220</v>
      </c>
      <c r="I176" s="4">
        <f t="shared" si="24"/>
        <v>1127098</v>
      </c>
      <c r="J176" s="7">
        <f t="shared" si="16"/>
        <v>1256.7859999999637</v>
      </c>
      <c r="K176" s="7">
        <f t="shared" si="21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6"/>
        <v>50739</v>
      </c>
      <c r="Q176" s="29">
        <f t="shared" si="10"/>
        <v>6413</v>
      </c>
      <c r="R176" s="72">
        <f t="shared" si="22"/>
        <v>2.4408468244084682E-2</v>
      </c>
      <c r="S176" s="62">
        <f t="shared" si="14"/>
        <v>2.0990859784476738E-2</v>
      </c>
    </row>
    <row r="177" spans="1:20" s="68" customFormat="1" x14ac:dyDescent="0.25">
      <c r="A177" s="2">
        <v>44068</v>
      </c>
      <c r="B177" s="4">
        <v>8771</v>
      </c>
      <c r="C177" s="7">
        <f t="shared" si="25"/>
        <v>359638</v>
      </c>
      <c r="D177" s="4">
        <f>36+162</f>
        <v>198</v>
      </c>
      <c r="E177" s="7">
        <f t="shared" ref="E177:E192" si="27">E176+D177</f>
        <v>7563</v>
      </c>
      <c r="F177" s="200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6"/>
        <v>1278.204000000027</v>
      </c>
      <c r="K177" s="7">
        <f t="shared" si="21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6"/>
        <v>51790</v>
      </c>
      <c r="Q177" s="29">
        <f t="shared" si="10"/>
        <v>5599</v>
      </c>
      <c r="R177" s="72">
        <f t="shared" si="22"/>
        <v>2.3897014674448207E-2</v>
      </c>
      <c r="S177" s="62">
        <f t="shared" si="14"/>
        <v>2.1029479643419217E-2</v>
      </c>
      <c r="T177" s="143"/>
    </row>
    <row r="178" spans="1:20" x14ac:dyDescent="0.25">
      <c r="A178" s="2">
        <v>44069</v>
      </c>
      <c r="B178" s="4">
        <v>10550</v>
      </c>
      <c r="C178" s="7">
        <f t="shared" ref="C178:C192" si="28">C177+B178</f>
        <v>370188</v>
      </c>
      <c r="D178" s="4">
        <f>98+178</f>
        <v>276</v>
      </c>
      <c r="E178" s="7">
        <f t="shared" si="27"/>
        <v>7839</v>
      </c>
      <c r="F178" s="200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6"/>
        <v>1301.7900000000373</v>
      </c>
      <c r="K178" s="7">
        <f t="shared" si="21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6"/>
        <v>54117</v>
      </c>
      <c r="Q178" s="29">
        <f t="shared" si="10"/>
        <v>5657</v>
      </c>
      <c r="R178" s="72">
        <f t="shared" si="22"/>
        <v>2.300576850872103E-2</v>
      </c>
      <c r="S178" s="62">
        <f t="shared" si="14"/>
        <v>2.1175726927939318E-2</v>
      </c>
    </row>
    <row r="179" spans="1:20" x14ac:dyDescent="0.25">
      <c r="A179" s="2">
        <v>44070</v>
      </c>
      <c r="B179" s="4">
        <v>10104</v>
      </c>
      <c r="C179" s="7">
        <f t="shared" si="28"/>
        <v>380292</v>
      </c>
      <c r="D179" s="4">
        <f>105+106</f>
        <v>211</v>
      </c>
      <c r="E179" s="7">
        <f t="shared" si="27"/>
        <v>8050</v>
      </c>
      <c r="F179" s="200">
        <v>274458</v>
      </c>
      <c r="G179" s="4">
        <v>2075</v>
      </c>
      <c r="H179" s="4">
        <v>24067</v>
      </c>
      <c r="I179" s="4">
        <f t="shared" ref="I179:I191" si="29">I178+H179</f>
        <v>1196878</v>
      </c>
      <c r="J179" s="7">
        <f t="shared" si="16"/>
        <v>1061.1663999999873</v>
      </c>
      <c r="K179" s="7">
        <f t="shared" ref="K179:K190" si="30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6"/>
        <v>56457</v>
      </c>
      <c r="Q179" s="29">
        <f t="shared" si="10"/>
        <v>0</v>
      </c>
      <c r="R179" s="72">
        <f t="shared" si="22"/>
        <v>2.1220240530148083E-2</v>
      </c>
      <c r="S179" s="62">
        <f t="shared" si="14"/>
        <v>2.1167944632019604E-2</v>
      </c>
    </row>
    <row r="180" spans="1:20" x14ac:dyDescent="0.25">
      <c r="A180" s="2">
        <v>44071</v>
      </c>
      <c r="B180" s="148">
        <v>11717</v>
      </c>
      <c r="C180" s="66">
        <f t="shared" si="28"/>
        <v>392009</v>
      </c>
      <c r="D180" s="47">
        <f>80+142</f>
        <v>222</v>
      </c>
      <c r="E180" s="66">
        <f t="shared" si="27"/>
        <v>8272</v>
      </c>
      <c r="F180" s="200">
        <v>287220</v>
      </c>
      <c r="G180" s="47">
        <v>2114</v>
      </c>
      <c r="H180" s="47">
        <v>25481</v>
      </c>
      <c r="I180" s="47">
        <f t="shared" si="29"/>
        <v>1222359</v>
      </c>
      <c r="J180" s="7">
        <f t="shared" si="16"/>
        <v>1081.8352000000887</v>
      </c>
      <c r="K180" s="7">
        <f t="shared" si="30"/>
        <v>675065.16479999991</v>
      </c>
      <c r="L180" s="4">
        <v>676147</v>
      </c>
      <c r="M180" s="4">
        <v>1190</v>
      </c>
      <c r="N180" s="4">
        <v>92043</v>
      </c>
      <c r="O180" s="4">
        <v>239019</v>
      </c>
      <c r="P180" s="4">
        <f t="shared" si="26"/>
        <v>59757</v>
      </c>
      <c r="Q180" s="29">
        <f t="shared" si="10"/>
        <v>12762</v>
      </c>
      <c r="R180" s="72">
        <f t="shared" si="22"/>
        <v>2.1902877213340655E-2</v>
      </c>
      <c r="S180" s="62">
        <f t="shared" si="14"/>
        <v>2.1101556341818681E-2</v>
      </c>
    </row>
    <row r="181" spans="1:20" x14ac:dyDescent="0.25">
      <c r="A181" s="71">
        <v>44072</v>
      </c>
      <c r="B181" s="47">
        <v>9230</v>
      </c>
      <c r="C181" s="66">
        <f t="shared" si="28"/>
        <v>401239</v>
      </c>
      <c r="D181" s="47">
        <f>34+47</f>
        <v>81</v>
      </c>
      <c r="E181" s="66">
        <f t="shared" si="27"/>
        <v>8353</v>
      </c>
      <c r="F181" s="200">
        <v>294007</v>
      </c>
      <c r="G181" s="47">
        <v>2192</v>
      </c>
      <c r="H181" s="47">
        <v>19910</v>
      </c>
      <c r="I181" s="47">
        <f t="shared" si="29"/>
        <v>1242269</v>
      </c>
      <c r="J181" s="7">
        <f t="shared" ref="J181:J193" si="31">L181-K181</f>
        <v>1097.3584000000264</v>
      </c>
      <c r="K181" s="7">
        <f t="shared" si="30"/>
        <v>684751.64159999997</v>
      </c>
      <c r="L181" s="7">
        <v>685849</v>
      </c>
      <c r="M181" s="4">
        <v>1191</v>
      </c>
      <c r="N181" s="4">
        <v>93278</v>
      </c>
      <c r="O181" s="4">
        <v>244308</v>
      </c>
      <c r="P181" s="4">
        <f t="shared" si="26"/>
        <v>62462</v>
      </c>
      <c r="Q181" s="29">
        <f t="shared" si="10"/>
        <v>6787</v>
      </c>
      <c r="R181" s="72">
        <f t="shared" si="22"/>
        <v>2.2168508985730032E-2</v>
      </c>
      <c r="S181" s="62">
        <f t="shared" si="14"/>
        <v>2.0818016194836492E-2</v>
      </c>
      <c r="T181" s="19"/>
    </row>
    <row r="182" spans="1:20" x14ac:dyDescent="0.25">
      <c r="A182" s="2">
        <v>44073</v>
      </c>
      <c r="B182" s="4">
        <v>7187</v>
      </c>
      <c r="C182" s="7">
        <f t="shared" si="28"/>
        <v>408426</v>
      </c>
      <c r="D182" s="4">
        <f>48+55</f>
        <v>103</v>
      </c>
      <c r="E182" s="7">
        <f t="shared" si="27"/>
        <v>8456</v>
      </c>
      <c r="F182" s="200">
        <v>300195</v>
      </c>
      <c r="G182" s="4">
        <v>2232</v>
      </c>
      <c r="H182" s="4">
        <v>15637</v>
      </c>
      <c r="I182" s="4">
        <f t="shared" si="29"/>
        <v>1257906</v>
      </c>
      <c r="J182" s="7">
        <f t="shared" si="31"/>
        <v>1109.0415999999968</v>
      </c>
      <c r="K182" s="7">
        <f t="shared" si="30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6"/>
        <v>65003</v>
      </c>
      <c r="Q182" s="29">
        <f t="shared" si="10"/>
        <v>6188</v>
      </c>
      <c r="R182" s="72">
        <f t="shared" si="22"/>
        <v>2.2370333249812076E-2</v>
      </c>
      <c r="S182" s="62">
        <f t="shared" si="14"/>
        <v>2.0703872917003326E-2</v>
      </c>
    </row>
    <row r="183" spans="1:20" x14ac:dyDescent="0.25">
      <c r="A183" s="73">
        <v>44074</v>
      </c>
      <c r="B183" s="47">
        <v>9309</v>
      </c>
      <c r="C183" s="66">
        <f t="shared" si="28"/>
        <v>417735</v>
      </c>
      <c r="D183" s="47">
        <f>41+162</f>
        <v>203</v>
      </c>
      <c r="E183" s="66">
        <f t="shared" si="27"/>
        <v>8659</v>
      </c>
      <c r="F183" s="200">
        <v>308376</v>
      </c>
      <c r="G183" s="47">
        <v>2273</v>
      </c>
      <c r="H183" s="47">
        <v>19845</v>
      </c>
      <c r="I183" s="47">
        <f t="shared" si="29"/>
        <v>1277751</v>
      </c>
      <c r="J183" s="7">
        <f t="shared" si="31"/>
        <v>1125.2863999999827</v>
      </c>
      <c r="K183" s="7">
        <f t="shared" si="30"/>
        <v>702178.71360000002</v>
      </c>
      <c r="L183" s="4">
        <v>703304</v>
      </c>
      <c r="M183" s="4">
        <v>1197</v>
      </c>
      <c r="N183" s="4">
        <v>95857</v>
      </c>
      <c r="O183" s="4">
        <v>255688</v>
      </c>
      <c r="P183" s="4">
        <f t="shared" si="26"/>
        <v>64993</v>
      </c>
      <c r="Q183" s="29">
        <f t="shared" si="10"/>
        <v>8181</v>
      </c>
      <c r="R183" s="72">
        <f t="shared" si="22"/>
        <v>2.2571996027805363E-2</v>
      </c>
      <c r="S183" s="62">
        <f t="shared" si="14"/>
        <v>2.0728452248435014E-2</v>
      </c>
    </row>
    <row r="184" spans="1:20" x14ac:dyDescent="0.25">
      <c r="A184" s="75">
        <v>44075</v>
      </c>
      <c r="B184" s="4">
        <v>10504</v>
      </c>
      <c r="C184" s="7">
        <f t="shared" si="28"/>
        <v>428239</v>
      </c>
      <c r="D184" s="4">
        <f>70+189</f>
        <v>259</v>
      </c>
      <c r="E184" s="7">
        <f t="shared" si="27"/>
        <v>8918</v>
      </c>
      <c r="F184" s="200">
        <v>315530</v>
      </c>
      <c r="G184" s="4">
        <v>2314</v>
      </c>
      <c r="H184" s="4">
        <v>23115</v>
      </c>
      <c r="I184" s="4">
        <f t="shared" si="29"/>
        <v>1300866</v>
      </c>
      <c r="J184" s="7">
        <f t="shared" si="31"/>
        <v>1148.1040000000503</v>
      </c>
      <c r="K184" s="7">
        <f t="shared" si="30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6"/>
        <v>65758</v>
      </c>
      <c r="Q184" s="29">
        <f t="shared" si="10"/>
        <v>7154</v>
      </c>
      <c r="R184" s="72">
        <f t="shared" si="22"/>
        <v>2.2294803981077357E-2</v>
      </c>
      <c r="S184" s="62">
        <f t="shared" si="14"/>
        <v>2.0824819785213396E-2</v>
      </c>
    </row>
    <row r="185" spans="1:20" x14ac:dyDescent="0.25">
      <c r="A185" s="75">
        <v>44076</v>
      </c>
      <c r="B185" s="4">
        <v>10933</v>
      </c>
      <c r="C185" s="7">
        <f t="shared" si="28"/>
        <v>439172</v>
      </c>
      <c r="D185" s="4">
        <f>52+146</f>
        <v>198</v>
      </c>
      <c r="E185" s="7">
        <f t="shared" si="27"/>
        <v>9116</v>
      </c>
      <c r="F185" s="200">
        <v>322461</v>
      </c>
      <c r="G185" s="4">
        <v>2359</v>
      </c>
      <c r="H185" s="4">
        <v>23821</v>
      </c>
      <c r="I185" s="4">
        <f t="shared" si="29"/>
        <v>1324687</v>
      </c>
      <c r="J185" s="7">
        <f t="shared" si="31"/>
        <v>1166.611200000043</v>
      </c>
      <c r="K185" s="7">
        <f t="shared" si="30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6"/>
        <v>65923</v>
      </c>
      <c r="Q185" s="29">
        <f t="shared" si="10"/>
        <v>6931</v>
      </c>
      <c r="R185" s="72">
        <f t="shared" si="22"/>
        <v>2.1924810632464334E-2</v>
      </c>
      <c r="S185" s="62">
        <f t="shared" si="14"/>
        <v>2.075724317579445E-2</v>
      </c>
    </row>
    <row r="186" spans="1:20" x14ac:dyDescent="0.25">
      <c r="A186" s="75">
        <v>44077</v>
      </c>
      <c r="B186" s="147">
        <v>12026</v>
      </c>
      <c r="C186" s="7">
        <f t="shared" si="28"/>
        <v>451198</v>
      </c>
      <c r="D186" s="4">
        <f>38+206</f>
        <v>244</v>
      </c>
      <c r="E186" s="7">
        <f t="shared" si="27"/>
        <v>9360</v>
      </c>
      <c r="F186" s="200">
        <v>331621</v>
      </c>
      <c r="G186" s="4">
        <v>2394</v>
      </c>
      <c r="H186" s="4">
        <v>25351</v>
      </c>
      <c r="I186" s="4">
        <f t="shared" si="29"/>
        <v>1350038</v>
      </c>
      <c r="J186" s="7">
        <f t="shared" si="31"/>
        <v>1185.8656000000192</v>
      </c>
      <c r="K186" s="7">
        <f t="shared" si="30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6"/>
        <v>67675</v>
      </c>
      <c r="Q186" s="29">
        <f t="shared" si="10"/>
        <v>9160</v>
      </c>
      <c r="R186" s="72">
        <f t="shared" si="22"/>
        <v>2.1720787174392336E-2</v>
      </c>
      <c r="S186" s="62">
        <f t="shared" si="14"/>
        <v>2.0744772804843992E-2</v>
      </c>
    </row>
    <row r="187" spans="1:20" x14ac:dyDescent="0.25">
      <c r="A187" s="75">
        <v>44078</v>
      </c>
      <c r="B187" s="4">
        <v>10684</v>
      </c>
      <c r="C187" s="7">
        <f t="shared" si="28"/>
        <v>461882</v>
      </c>
      <c r="D187" s="4">
        <f>107+155</f>
        <v>262</v>
      </c>
      <c r="E187" s="7">
        <f t="shared" si="27"/>
        <v>9622</v>
      </c>
      <c r="F187" s="200">
        <v>340381</v>
      </c>
      <c r="G187" s="4">
        <v>2425</v>
      </c>
      <c r="H187" s="4">
        <v>24486</v>
      </c>
      <c r="I187" s="4">
        <f t="shared" si="29"/>
        <v>1374524</v>
      </c>
      <c r="J187" s="7">
        <f t="shared" si="31"/>
        <v>1205.8336000000127</v>
      </c>
      <c r="K187" s="7">
        <f t="shared" si="30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6"/>
        <v>68623</v>
      </c>
      <c r="Q187" s="29">
        <f t="shared" si="10"/>
        <v>8760</v>
      </c>
      <c r="R187" s="72">
        <f t="shared" si="22"/>
        <v>2.167520267431779E-2</v>
      </c>
      <c r="S187" s="62">
        <f t="shared" si="14"/>
        <v>2.0832160595130357E-2</v>
      </c>
    </row>
    <row r="188" spans="1:20" x14ac:dyDescent="0.25">
      <c r="A188" s="75">
        <v>44079</v>
      </c>
      <c r="B188" s="47">
        <v>9924</v>
      </c>
      <c r="C188" s="66">
        <f t="shared" si="28"/>
        <v>471806</v>
      </c>
      <c r="D188" s="47">
        <f>62+55</f>
        <v>117</v>
      </c>
      <c r="E188" s="66">
        <f t="shared" si="27"/>
        <v>9739</v>
      </c>
      <c r="F188" s="200">
        <v>349132</v>
      </c>
      <c r="G188" s="47">
        <v>2456</v>
      </c>
      <c r="H188" s="47">
        <v>22363</v>
      </c>
      <c r="I188" s="47">
        <f t="shared" si="29"/>
        <v>1396887</v>
      </c>
      <c r="J188" s="7">
        <f t="shared" si="31"/>
        <v>1223.704000000027</v>
      </c>
      <c r="K188" s="7">
        <f t="shared" si="30"/>
        <v>763591.29599999997</v>
      </c>
      <c r="L188" s="7">
        <v>764815</v>
      </c>
      <c r="M188" s="4">
        <v>1207</v>
      </c>
      <c r="N188" s="4">
        <v>104581</v>
      </c>
      <c r="O188" s="4">
        <v>294844</v>
      </c>
      <c r="P188" s="4">
        <f t="shared" si="26"/>
        <v>71174</v>
      </c>
      <c r="Q188" s="29">
        <f t="shared" si="10"/>
        <v>8751</v>
      </c>
      <c r="R188" s="72">
        <f t="shared" si="22"/>
        <v>2.1747022623633063E-2</v>
      </c>
      <c r="S188" s="62">
        <f t="shared" si="14"/>
        <v>2.0641958771189853E-2</v>
      </c>
    </row>
    <row r="189" spans="1:20" x14ac:dyDescent="0.25">
      <c r="A189" s="75">
        <v>44080</v>
      </c>
      <c r="B189" s="4">
        <v>6986</v>
      </c>
      <c r="C189" s="7">
        <f t="shared" si="28"/>
        <v>478792</v>
      </c>
      <c r="D189" s="4">
        <f>67+51+1</f>
        <v>119</v>
      </c>
      <c r="E189" s="7">
        <f t="shared" si="27"/>
        <v>9858</v>
      </c>
      <c r="F189" s="200">
        <v>357388</v>
      </c>
      <c r="G189" s="4">
        <v>2512</v>
      </c>
      <c r="H189" s="4">
        <v>15262</v>
      </c>
      <c r="I189" s="4">
        <f t="shared" si="29"/>
        <v>1412149</v>
      </c>
      <c r="J189" s="7">
        <f t="shared" si="31"/>
        <v>1235.9904000000097</v>
      </c>
      <c r="K189" s="7">
        <f t="shared" si="30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6"/>
        <v>72610</v>
      </c>
      <c r="Q189" s="29">
        <f t="shared" si="10"/>
        <v>8256</v>
      </c>
      <c r="R189" s="72">
        <f t="shared" si="22"/>
        <v>2.2519857278611513E-2</v>
      </c>
      <c r="S189" s="62">
        <f t="shared" si="14"/>
        <v>2.0589316446390081E-2</v>
      </c>
    </row>
    <row r="190" spans="1:20" x14ac:dyDescent="0.25">
      <c r="A190" s="87">
        <v>44081</v>
      </c>
      <c r="B190" s="47">
        <v>9215</v>
      </c>
      <c r="C190" s="66">
        <f t="shared" si="28"/>
        <v>488007</v>
      </c>
      <c r="D190" s="47">
        <f>53+215</f>
        <v>268</v>
      </c>
      <c r="E190" s="66">
        <f t="shared" si="27"/>
        <v>10126</v>
      </c>
      <c r="F190" s="200">
        <v>366590</v>
      </c>
      <c r="G190" s="47">
        <v>2698</v>
      </c>
      <c r="H190" s="47">
        <v>20475</v>
      </c>
      <c r="I190" s="47">
        <f t="shared" si="29"/>
        <v>1432624</v>
      </c>
      <c r="J190" s="7">
        <f t="shared" si="31"/>
        <v>1252.6800000000512</v>
      </c>
      <c r="K190" s="7">
        <f t="shared" si="30"/>
        <v>781672.32</v>
      </c>
      <c r="L190" s="4">
        <v>782925</v>
      </c>
      <c r="M190" s="4">
        <v>1217</v>
      </c>
      <c r="N190" s="4">
        <v>107504</v>
      </c>
      <c r="O190" s="4">
        <v>307566</v>
      </c>
      <c r="P190" s="4">
        <f t="shared" si="26"/>
        <v>71720</v>
      </c>
      <c r="Q190" s="29">
        <f t="shared" si="10"/>
        <v>9202</v>
      </c>
      <c r="R190" s="72">
        <f t="shared" si="22"/>
        <v>2.4242750986153416E-2</v>
      </c>
      <c r="S190" s="62">
        <f t="shared" si="14"/>
        <v>2.074970236082679E-2</v>
      </c>
    </row>
    <row r="191" spans="1:20" x14ac:dyDescent="0.25">
      <c r="A191" s="75">
        <v>44082</v>
      </c>
      <c r="B191" s="4">
        <v>12027</v>
      </c>
      <c r="C191" s="7">
        <f t="shared" si="28"/>
        <v>500034</v>
      </c>
      <c r="D191" s="4">
        <f>50+227</f>
        <v>277</v>
      </c>
      <c r="E191" s="7">
        <f t="shared" si="27"/>
        <v>10403</v>
      </c>
      <c r="F191" s="200">
        <v>382490</v>
      </c>
      <c r="G191" s="4">
        <v>2719</v>
      </c>
      <c r="H191" s="4">
        <v>25995</v>
      </c>
      <c r="I191" s="4">
        <f t="shared" si="29"/>
        <v>1458619</v>
      </c>
      <c r="J191" s="7">
        <f t="shared" si="31"/>
        <v>1273.516799999983</v>
      </c>
      <c r="K191" s="7">
        <f t="shared" ref="K191:K202" si="32"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6"/>
        <v>73038</v>
      </c>
      <c r="Q191" s="29">
        <f t="shared" si="10"/>
        <v>15900</v>
      </c>
      <c r="R191" s="72">
        <f t="shared" si="22"/>
        <v>2.5377773214735722E-2</v>
      </c>
      <c r="S191" s="62">
        <f t="shared" si="14"/>
        <v>2.0804585288200401E-2</v>
      </c>
    </row>
    <row r="192" spans="1:20" x14ac:dyDescent="0.25">
      <c r="A192" s="75">
        <v>44083</v>
      </c>
      <c r="B192" s="4">
        <v>12259</v>
      </c>
      <c r="C192" s="7">
        <f t="shared" si="28"/>
        <v>512293</v>
      </c>
      <c r="D192" s="4">
        <f>52+202</f>
        <v>254</v>
      </c>
      <c r="E192" s="7">
        <f t="shared" si="27"/>
        <v>10657</v>
      </c>
      <c r="F192" s="200">
        <v>390098</v>
      </c>
      <c r="G192" s="4">
        <v>2829</v>
      </c>
      <c r="H192" s="4">
        <v>27171</v>
      </c>
      <c r="I192" s="4">
        <f t="shared" ref="I192:I202" si="33">I191+H192</f>
        <v>1485790</v>
      </c>
      <c r="J192" s="7">
        <f t="shared" si="31"/>
        <v>1293.7232000000076</v>
      </c>
      <c r="K192" s="7">
        <f t="shared" si="32"/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6"/>
        <v>74787</v>
      </c>
      <c r="Q192" s="29">
        <f t="shared" si="10"/>
        <v>7608</v>
      </c>
      <c r="R192" s="72">
        <f t="shared" si="22"/>
        <v>2.5363553228496118E-2</v>
      </c>
      <c r="S192" s="62">
        <f t="shared" si="14"/>
        <v>2.0802548541557272E-2</v>
      </c>
    </row>
    <row r="193" spans="1:20" x14ac:dyDescent="0.25">
      <c r="A193" s="75">
        <v>44084</v>
      </c>
      <c r="B193" s="4">
        <v>11905</v>
      </c>
      <c r="C193" s="7">
        <f t="shared" ref="C193:C207" si="34">C192+B193</f>
        <v>524198</v>
      </c>
      <c r="D193" s="4">
        <f>55+195</f>
        <v>250</v>
      </c>
      <c r="E193" s="7">
        <f t="shared" ref="E193:E206" si="35">E192+D193</f>
        <v>10907</v>
      </c>
      <c r="F193" s="200">
        <v>400121</v>
      </c>
      <c r="G193" s="4">
        <v>2880</v>
      </c>
      <c r="H193" s="4">
        <v>28057</v>
      </c>
      <c r="I193" s="4">
        <f t="shared" si="33"/>
        <v>1513847</v>
      </c>
      <c r="J193" s="7">
        <f t="shared" si="31"/>
        <v>1315.7488000000594</v>
      </c>
      <c r="K193" s="7">
        <f t="shared" si="32"/>
        <v>821027.25119999994</v>
      </c>
      <c r="L193" s="4">
        <v>822343</v>
      </c>
      <c r="M193" s="4">
        <v>1227</v>
      </c>
      <c r="N193" s="4">
        <v>114335</v>
      </c>
      <c r="O193" s="4">
        <v>332280</v>
      </c>
      <c r="P193" s="4">
        <f t="shared" si="26"/>
        <v>76356</v>
      </c>
      <c r="Q193" s="29">
        <f t="shared" si="10"/>
        <v>10023</v>
      </c>
      <c r="R193" s="72">
        <f t="shared" si="22"/>
        <v>2.5448440399399135E-2</v>
      </c>
      <c r="S193" s="62">
        <f t="shared" si="14"/>
        <v>2.0807023300355974E-2</v>
      </c>
    </row>
    <row r="194" spans="1:20" s="95" customFormat="1" x14ac:dyDescent="0.25">
      <c r="A194" s="87">
        <v>44085</v>
      </c>
      <c r="B194" s="1">
        <v>11507</v>
      </c>
      <c r="C194" s="21">
        <f t="shared" si="34"/>
        <v>535705</v>
      </c>
      <c r="D194" s="1">
        <f>87+154</f>
        <v>241</v>
      </c>
      <c r="E194" s="21">
        <f t="shared" si="35"/>
        <v>11148</v>
      </c>
      <c r="F194" s="200">
        <v>409771</v>
      </c>
      <c r="G194" s="1">
        <v>3093</v>
      </c>
      <c r="H194" s="4">
        <v>26254</v>
      </c>
      <c r="I194" s="4">
        <f t="shared" si="33"/>
        <v>1540101</v>
      </c>
      <c r="J194" s="7">
        <f t="shared" ref="J194:J202" si="36">L194-K194</f>
        <v>1338.017600000021</v>
      </c>
      <c r="K194" s="7">
        <f t="shared" si="32"/>
        <v>834922.98239999998</v>
      </c>
      <c r="L194" s="4">
        <v>836261</v>
      </c>
      <c r="M194" s="4">
        <v>1229</v>
      </c>
      <c r="N194" s="4">
        <v>116159</v>
      </c>
      <c r="O194" s="4">
        <v>340885</v>
      </c>
      <c r="P194" s="4">
        <f t="shared" si="26"/>
        <v>77432</v>
      </c>
      <c r="Q194" s="29">
        <f t="shared" si="10"/>
        <v>9650</v>
      </c>
      <c r="R194" s="72">
        <f t="shared" si="22"/>
        <v>2.6945794783335947E-2</v>
      </c>
      <c r="S194" s="62">
        <f t="shared" si="14"/>
        <v>2.0809960705985571E-2</v>
      </c>
    </row>
    <row r="195" spans="1:20" x14ac:dyDescent="0.25">
      <c r="A195" s="75">
        <v>44086</v>
      </c>
      <c r="B195" s="1">
        <v>10776</v>
      </c>
      <c r="C195" s="21">
        <f t="shared" si="34"/>
        <v>546481</v>
      </c>
      <c r="D195" s="1">
        <f>57+58</f>
        <v>115</v>
      </c>
      <c r="E195" s="21">
        <f t="shared" si="35"/>
        <v>11263</v>
      </c>
      <c r="F195" s="200">
        <v>419513</v>
      </c>
      <c r="G195" s="1">
        <v>2962</v>
      </c>
      <c r="H195" s="4">
        <v>23140</v>
      </c>
      <c r="I195" s="4">
        <f t="shared" si="33"/>
        <v>1563241</v>
      </c>
      <c r="J195" s="7">
        <f t="shared" si="36"/>
        <v>1355.5903999999864</v>
      </c>
      <c r="K195" s="7">
        <f t="shared" si="32"/>
        <v>845888.40960000001</v>
      </c>
      <c r="L195" s="4">
        <v>847244</v>
      </c>
      <c r="M195" s="4">
        <v>1232</v>
      </c>
      <c r="N195" s="4">
        <v>117339</v>
      </c>
      <c r="O195" s="4">
        <v>347893</v>
      </c>
      <c r="P195" s="4">
        <f t="shared" si="26"/>
        <v>80017</v>
      </c>
      <c r="Q195" s="29">
        <f t="shared" si="10"/>
        <v>9742</v>
      </c>
      <c r="R195" s="72">
        <f t="shared" si="22"/>
        <v>2.5599585151894904E-2</v>
      </c>
      <c r="S195" s="62">
        <f t="shared" si="14"/>
        <v>2.0610048656769402E-2</v>
      </c>
    </row>
    <row r="196" spans="1:20" ht="16.5" x14ac:dyDescent="0.25">
      <c r="A196" s="75">
        <v>44087</v>
      </c>
      <c r="B196" s="1">
        <v>9056</v>
      </c>
      <c r="C196" s="137">
        <f t="shared" si="34"/>
        <v>555537</v>
      </c>
      <c r="D196" s="1">
        <f>44+45</f>
        <v>89</v>
      </c>
      <c r="E196" s="21">
        <f t="shared" si="35"/>
        <v>11352</v>
      </c>
      <c r="F196" s="200">
        <v>428953</v>
      </c>
      <c r="G196" s="1">
        <v>2984</v>
      </c>
      <c r="H196" s="4">
        <v>17955</v>
      </c>
      <c r="I196" s="4">
        <f t="shared" si="33"/>
        <v>1581196</v>
      </c>
      <c r="J196" s="7">
        <f t="shared" si="36"/>
        <v>1368.1983999999939</v>
      </c>
      <c r="K196" s="7">
        <f t="shared" si="32"/>
        <v>853755.80160000001</v>
      </c>
      <c r="L196" s="4">
        <v>855124</v>
      </c>
      <c r="M196" s="4">
        <v>1235</v>
      </c>
      <c r="N196" s="4">
        <v>118561</v>
      </c>
      <c r="O196" s="4">
        <v>353007</v>
      </c>
      <c r="P196" s="4">
        <f t="shared" si="26"/>
        <v>82734</v>
      </c>
      <c r="Q196" s="29">
        <f t="shared" si="10"/>
        <v>9440</v>
      </c>
      <c r="R196" s="72">
        <f t="shared" si="22"/>
        <v>2.5895584559844486E-2</v>
      </c>
      <c r="S196" s="62">
        <f t="shared" si="14"/>
        <v>2.0434282505035668E-2</v>
      </c>
    </row>
    <row r="197" spans="1:20" ht="16.5" x14ac:dyDescent="0.25">
      <c r="A197" s="87">
        <v>44088</v>
      </c>
      <c r="B197" s="4">
        <v>9909</v>
      </c>
      <c r="C197" s="137">
        <f t="shared" si="34"/>
        <v>565446</v>
      </c>
      <c r="D197" s="4">
        <f>60+254</f>
        <v>314</v>
      </c>
      <c r="E197" s="7">
        <f t="shared" si="35"/>
        <v>11666</v>
      </c>
      <c r="F197" s="200">
        <v>438883</v>
      </c>
      <c r="G197" s="4">
        <v>2992</v>
      </c>
      <c r="H197" s="4">
        <v>21207</v>
      </c>
      <c r="I197" s="4">
        <f t="shared" si="33"/>
        <v>1602403</v>
      </c>
      <c r="J197" s="7">
        <f t="shared" si="36"/>
        <v>1385.3168000000296</v>
      </c>
      <c r="K197" s="7">
        <f t="shared" si="32"/>
        <v>864437.68319999997</v>
      </c>
      <c r="L197" s="4">
        <v>865823</v>
      </c>
      <c r="M197" s="4">
        <v>1236</v>
      </c>
      <c r="N197" s="4">
        <v>120192</v>
      </c>
      <c r="O197" s="4">
        <v>361677</v>
      </c>
      <c r="P197" s="4">
        <f t="shared" si="26"/>
        <v>82341</v>
      </c>
      <c r="Q197" s="29">
        <f t="shared" si="10"/>
        <v>9930</v>
      </c>
      <c r="R197" s="72">
        <f t="shared" si="22"/>
        <v>2.6040714727103405E-2</v>
      </c>
      <c r="S197" s="62">
        <f t="shared" ref="S197:S210" si="37">E197/C187</f>
        <v>2.525753330937339E-2</v>
      </c>
    </row>
    <row r="198" spans="1:20" ht="16.5" x14ac:dyDescent="0.25">
      <c r="A198" s="75">
        <v>44089</v>
      </c>
      <c r="B198" s="4">
        <v>11892</v>
      </c>
      <c r="C198" s="137">
        <f t="shared" si="34"/>
        <v>577338</v>
      </c>
      <c r="D198" s="4">
        <f>43+142</f>
        <v>185</v>
      </c>
      <c r="E198" s="7">
        <f t="shared" si="35"/>
        <v>11851</v>
      </c>
      <c r="F198" s="200">
        <v>448263</v>
      </c>
      <c r="G198" s="4">
        <v>3049</v>
      </c>
      <c r="H198" s="4">
        <v>25791</v>
      </c>
      <c r="I198" s="4">
        <f t="shared" si="33"/>
        <v>1628194</v>
      </c>
      <c r="J198" s="7">
        <f t="shared" si="36"/>
        <v>1407.344000000041</v>
      </c>
      <c r="K198" s="7">
        <f t="shared" si="32"/>
        <v>878182.65599999996</v>
      </c>
      <c r="L198" s="4">
        <v>879590</v>
      </c>
      <c r="M198" s="4">
        <v>1242</v>
      </c>
      <c r="N198" s="4">
        <v>125970</v>
      </c>
      <c r="O198" s="4">
        <v>371507</v>
      </c>
      <c r="P198" s="4">
        <f t="shared" si="26"/>
        <v>78619</v>
      </c>
      <c r="Q198" s="29">
        <f t="shared" ref="Q198:Q248" si="38">F198-F197</f>
        <v>9380</v>
      </c>
      <c r="R198" s="72">
        <f t="shared" si="22"/>
        <v>2.6010032075342932E-2</v>
      </c>
      <c r="S198" s="62">
        <f t="shared" si="37"/>
        <v>2.5118374925287089E-2</v>
      </c>
    </row>
    <row r="199" spans="1:20" ht="16.5" x14ac:dyDescent="0.25">
      <c r="A199" s="75">
        <v>44090</v>
      </c>
      <c r="B199" s="7">
        <v>11674</v>
      </c>
      <c r="C199" s="137">
        <f t="shared" si="34"/>
        <v>589012</v>
      </c>
      <c r="D199" s="4">
        <f>58+206</f>
        <v>264</v>
      </c>
      <c r="E199" s="7">
        <f t="shared" si="35"/>
        <v>12115</v>
      </c>
      <c r="F199" s="200">
        <v>456347</v>
      </c>
      <c r="G199" s="4">
        <v>3118</v>
      </c>
      <c r="H199" s="4">
        <v>25422</v>
      </c>
      <c r="I199" s="4">
        <f t="shared" si="33"/>
        <v>1653616</v>
      </c>
      <c r="J199" s="7">
        <f t="shared" si="36"/>
        <v>1429.5023999999976</v>
      </c>
      <c r="K199" s="7">
        <f t="shared" si="32"/>
        <v>892009.4976</v>
      </c>
      <c r="L199" s="4">
        <v>893439</v>
      </c>
      <c r="M199" s="4">
        <v>1247</v>
      </c>
      <c r="N199" s="4">
        <v>128236</v>
      </c>
      <c r="O199" s="4">
        <v>380805</v>
      </c>
      <c r="P199" s="7">
        <f>C199-O199-N199-M199</f>
        <v>78724</v>
      </c>
      <c r="Q199" s="29">
        <f t="shared" si="38"/>
        <v>8084</v>
      </c>
      <c r="R199" s="72">
        <f t="shared" si="22"/>
        <v>2.5864786395686436E-2</v>
      </c>
      <c r="S199" s="62">
        <f t="shared" si="37"/>
        <v>2.530326321241792E-2</v>
      </c>
      <c r="T199" s="146"/>
    </row>
    <row r="200" spans="1:20" ht="16.5" x14ac:dyDescent="0.25">
      <c r="A200" s="75">
        <v>44091</v>
      </c>
      <c r="B200" s="4">
        <v>12701</v>
      </c>
      <c r="C200" s="137">
        <f t="shared" si="34"/>
        <v>601713</v>
      </c>
      <c r="D200" s="4">
        <v>345</v>
      </c>
      <c r="E200" s="7">
        <f t="shared" si="35"/>
        <v>12460</v>
      </c>
      <c r="F200" s="200">
        <v>467286</v>
      </c>
      <c r="G200" s="4">
        <v>3108</v>
      </c>
      <c r="H200" s="4">
        <v>28633</v>
      </c>
      <c r="I200" s="4">
        <f t="shared" si="33"/>
        <v>1682249</v>
      </c>
      <c r="J200" s="7">
        <f t="shared" si="36"/>
        <v>1451.9024000000209</v>
      </c>
      <c r="K200" s="7">
        <f t="shared" si="32"/>
        <v>905987.09759999998</v>
      </c>
      <c r="L200" s="4">
        <v>907439</v>
      </c>
      <c r="M200" s="4">
        <v>1251</v>
      </c>
      <c r="N200" s="4">
        <v>130230</v>
      </c>
      <c r="O200" s="4">
        <v>390634</v>
      </c>
      <c r="P200" s="4">
        <f>C200-O200-N200-M200</f>
        <v>79598</v>
      </c>
      <c r="Q200" s="29">
        <f t="shared" si="38"/>
        <v>10939</v>
      </c>
      <c r="R200" s="72">
        <f t="shared" si="22"/>
        <v>2.5482302590044848E-2</v>
      </c>
      <c r="S200" s="62">
        <f t="shared" si="37"/>
        <v>2.5532420641507191E-2</v>
      </c>
      <c r="T200" s="146"/>
    </row>
    <row r="201" spans="1:20" ht="16.5" x14ac:dyDescent="0.25">
      <c r="A201" s="75">
        <v>44092</v>
      </c>
      <c r="B201" s="4">
        <v>11945</v>
      </c>
      <c r="C201" s="137">
        <f t="shared" si="34"/>
        <v>613658</v>
      </c>
      <c r="D201" s="4">
        <f>31+166</f>
        <v>197</v>
      </c>
      <c r="E201" s="7">
        <f t="shared" si="35"/>
        <v>12657</v>
      </c>
      <c r="F201" s="200">
        <v>478077</v>
      </c>
      <c r="G201" s="4">
        <v>3225</v>
      </c>
      <c r="H201" s="4">
        <v>25698</v>
      </c>
      <c r="I201" s="4">
        <f t="shared" si="33"/>
        <v>1707947</v>
      </c>
      <c r="J201" s="7">
        <f t="shared" si="36"/>
        <v>1474.3456000000006</v>
      </c>
      <c r="K201" s="7">
        <f t="shared" si="32"/>
        <v>919991.6544</v>
      </c>
      <c r="L201" s="4">
        <v>921466</v>
      </c>
      <c r="M201" s="4">
        <v>1254</v>
      </c>
      <c r="N201" s="4">
        <v>132427</v>
      </c>
      <c r="O201" s="4">
        <v>400216</v>
      </c>
      <c r="P201" s="4">
        <f>C201-O201-N201-M201</f>
        <v>79761</v>
      </c>
      <c r="Q201" s="29">
        <f t="shared" si="38"/>
        <v>10791</v>
      </c>
      <c r="R201" s="72">
        <f t="shared" si="22"/>
        <v>2.6235722885685465E-2</v>
      </c>
      <c r="S201" s="62">
        <f t="shared" si="37"/>
        <v>2.5312278765043977E-2</v>
      </c>
      <c r="T201" s="146"/>
    </row>
    <row r="202" spans="1:20" x14ac:dyDescent="0.25">
      <c r="A202" s="75">
        <v>44093</v>
      </c>
      <c r="B202" s="4">
        <v>9276</v>
      </c>
      <c r="C202" s="7">
        <f t="shared" si="34"/>
        <v>622934</v>
      </c>
      <c r="D202" s="4">
        <f>49+94</f>
        <v>143</v>
      </c>
      <c r="E202" s="7">
        <f t="shared" si="35"/>
        <v>12800</v>
      </c>
      <c r="F202" s="200">
        <v>488231</v>
      </c>
      <c r="G202" s="4">
        <v>3213</v>
      </c>
      <c r="H202" s="4">
        <v>21093</v>
      </c>
      <c r="I202" s="4">
        <f t="shared" si="33"/>
        <v>1729040</v>
      </c>
      <c r="J202" s="7">
        <f t="shared" si="36"/>
        <v>1492.0336000000825</v>
      </c>
      <c r="K202" s="7">
        <f t="shared" si="32"/>
        <v>931028.96639999992</v>
      </c>
      <c r="L202" s="4">
        <v>932521</v>
      </c>
      <c r="M202" s="47">
        <v>1261</v>
      </c>
      <c r="N202" s="47">
        <v>133793</v>
      </c>
      <c r="O202" s="47">
        <v>406757</v>
      </c>
      <c r="P202" s="47">
        <f>C202-O202-N202-M202</f>
        <v>81123</v>
      </c>
      <c r="Q202" s="29">
        <f t="shared" si="38"/>
        <v>10154</v>
      </c>
      <c r="R202" s="155">
        <f t="shared" si="22"/>
        <v>2.6357021566327327E-2</v>
      </c>
      <c r="S202" s="156">
        <f t="shared" si="37"/>
        <v>2.4985701541891066E-2</v>
      </c>
      <c r="T202" s="146"/>
    </row>
    <row r="203" spans="1:20" x14ac:dyDescent="0.25">
      <c r="A203" s="75">
        <v>44094</v>
      </c>
      <c r="B203" s="4">
        <v>8431</v>
      </c>
      <c r="C203" s="7">
        <f t="shared" si="34"/>
        <v>631365</v>
      </c>
      <c r="D203" s="4">
        <f>110+143</f>
        <v>253</v>
      </c>
      <c r="E203" s="7">
        <f t="shared" si="35"/>
        <v>13053</v>
      </c>
      <c r="F203" s="200">
        <v>498379</v>
      </c>
      <c r="G203" s="4">
        <v>3261</v>
      </c>
      <c r="H203" s="4">
        <v>15454</v>
      </c>
      <c r="I203" s="4">
        <v>1744494</v>
      </c>
      <c r="J203" s="7">
        <v>1348</v>
      </c>
      <c r="K203" s="7">
        <v>939868</v>
      </c>
      <c r="L203" s="153">
        <f t="shared" ref="L203:L213" si="39">K203+J203</f>
        <v>941216</v>
      </c>
      <c r="M203" s="167">
        <v>1262</v>
      </c>
      <c r="N203" s="167">
        <v>134820</v>
      </c>
      <c r="O203" s="167">
        <v>412203</v>
      </c>
      <c r="P203" s="167">
        <f>C203-O203-N203-M203</f>
        <v>83080</v>
      </c>
      <c r="Q203" s="29">
        <f t="shared" si="38"/>
        <v>10148</v>
      </c>
      <c r="R203" s="190">
        <f t="shared" si="22"/>
        <v>2.7190181184494677E-2</v>
      </c>
      <c r="S203" s="191">
        <f t="shared" si="37"/>
        <v>2.4900896226235127E-2</v>
      </c>
      <c r="T203" s="146"/>
    </row>
    <row r="204" spans="1:20" x14ac:dyDescent="0.25">
      <c r="A204" s="75">
        <v>44095</v>
      </c>
      <c r="B204" s="4">
        <v>8782</v>
      </c>
      <c r="C204" s="7">
        <f t="shared" si="34"/>
        <v>640147</v>
      </c>
      <c r="D204" s="4">
        <v>427</v>
      </c>
      <c r="E204" s="7">
        <f t="shared" si="35"/>
        <v>13480</v>
      </c>
      <c r="F204" s="200">
        <v>508563</v>
      </c>
      <c r="G204" s="4">
        <v>3387</v>
      </c>
      <c r="H204" s="4">
        <v>18575</v>
      </c>
      <c r="I204" s="4">
        <f t="shared" ref="I204:I223" si="40">I203+H204</f>
        <v>1763069</v>
      </c>
      <c r="J204" s="7">
        <v>1383</v>
      </c>
      <c r="K204" s="7">
        <v>949102</v>
      </c>
      <c r="L204" s="153">
        <f t="shared" si="39"/>
        <v>950485</v>
      </c>
      <c r="M204" s="192">
        <v>6401</v>
      </c>
      <c r="N204" s="192">
        <v>138272</v>
      </c>
      <c r="O204" s="193">
        <v>417376</v>
      </c>
      <c r="P204" s="167">
        <f t="shared" ref="P204:P231" si="41">C204-O204-N204-M204</f>
        <v>78098</v>
      </c>
      <c r="Q204" s="29">
        <f t="shared" si="38"/>
        <v>10184</v>
      </c>
      <c r="R204" s="190">
        <f t="shared" si="22"/>
        <v>2.8678114204429995E-2</v>
      </c>
      <c r="S204" s="191">
        <f t="shared" si="37"/>
        <v>2.5163102827115671E-2</v>
      </c>
      <c r="T204" s="146"/>
    </row>
    <row r="205" spans="1:20" x14ac:dyDescent="0.25">
      <c r="A205" s="75">
        <v>44096</v>
      </c>
      <c r="B205" s="4">
        <v>12027</v>
      </c>
      <c r="C205" s="7">
        <f t="shared" si="34"/>
        <v>652174</v>
      </c>
      <c r="D205" s="4">
        <v>469</v>
      </c>
      <c r="E205" s="7">
        <f t="shared" si="35"/>
        <v>13949</v>
      </c>
      <c r="F205" s="200">
        <v>517228</v>
      </c>
      <c r="G205" s="4">
        <v>3362</v>
      </c>
      <c r="H205" s="4">
        <v>25766</v>
      </c>
      <c r="I205" s="4">
        <f t="shared" si="40"/>
        <v>1788835</v>
      </c>
      <c r="J205" s="7">
        <v>1448</v>
      </c>
      <c r="K205" s="7">
        <v>961776</v>
      </c>
      <c r="L205" s="153">
        <f t="shared" si="39"/>
        <v>963224</v>
      </c>
      <c r="M205" s="194">
        <v>6521</v>
      </c>
      <c r="N205" s="194">
        <v>140870</v>
      </c>
      <c r="O205" s="194">
        <v>425218</v>
      </c>
      <c r="P205" s="167">
        <f t="shared" si="41"/>
        <v>79565</v>
      </c>
      <c r="Q205" s="29">
        <f t="shared" si="38"/>
        <v>8665</v>
      </c>
      <c r="R205" s="190">
        <f t="shared" si="22"/>
        <v>2.7785812871393506E-2</v>
      </c>
      <c r="S205" s="191">
        <f t="shared" si="37"/>
        <v>2.5525132621262221E-2</v>
      </c>
      <c r="T205" s="146"/>
    </row>
    <row r="206" spans="1:20" x14ac:dyDescent="0.25">
      <c r="A206" s="75">
        <v>44097</v>
      </c>
      <c r="B206" s="4">
        <v>12625</v>
      </c>
      <c r="C206" s="7">
        <f t="shared" si="34"/>
        <v>664799</v>
      </c>
      <c r="D206" s="4">
        <v>423</v>
      </c>
      <c r="E206" s="7">
        <f t="shared" si="35"/>
        <v>14372</v>
      </c>
      <c r="F206" s="200">
        <v>525486</v>
      </c>
      <c r="G206" s="4">
        <v>3511</v>
      </c>
      <c r="H206" s="4">
        <v>24903</v>
      </c>
      <c r="I206" s="4">
        <f t="shared" si="40"/>
        <v>1813738</v>
      </c>
      <c r="J206" s="7">
        <v>1456</v>
      </c>
      <c r="K206" s="7">
        <v>974788</v>
      </c>
      <c r="L206" s="153">
        <f t="shared" si="39"/>
        <v>976244</v>
      </c>
      <c r="M206" s="194">
        <v>6647</v>
      </c>
      <c r="N206" s="194">
        <v>143597</v>
      </c>
      <c r="O206" s="194">
        <v>433450</v>
      </c>
      <c r="P206" s="167">
        <f t="shared" si="41"/>
        <v>81105</v>
      </c>
      <c r="Q206" s="29">
        <f t="shared" si="38"/>
        <v>8258</v>
      </c>
      <c r="R206" s="190">
        <f t="shared" ref="R206:R211" si="42">G206/(C206-E206-F206)</f>
        <v>2.8101263796511955E-2</v>
      </c>
      <c r="S206" s="191">
        <f t="shared" si="37"/>
        <v>2.5870464073500056E-2</v>
      </c>
      <c r="T206" s="146"/>
    </row>
    <row r="207" spans="1:20" x14ac:dyDescent="0.25">
      <c r="A207" s="75">
        <v>44098</v>
      </c>
      <c r="B207" s="150">
        <v>13467</v>
      </c>
      <c r="C207" s="151">
        <f t="shared" si="34"/>
        <v>678266</v>
      </c>
      <c r="D207" s="4">
        <v>391</v>
      </c>
      <c r="E207" s="7">
        <f t="shared" ref="E207:E230" si="43">E206+D207</f>
        <v>14763</v>
      </c>
      <c r="F207" s="200">
        <v>536589</v>
      </c>
      <c r="G207" s="4">
        <v>3527</v>
      </c>
      <c r="H207" s="4">
        <v>27253</v>
      </c>
      <c r="I207" s="4">
        <f t="shared" si="40"/>
        <v>1840991</v>
      </c>
      <c r="J207" s="7">
        <v>1488</v>
      </c>
      <c r="K207" s="7">
        <v>988976</v>
      </c>
      <c r="L207" s="43">
        <f t="shared" si="39"/>
        <v>990464</v>
      </c>
      <c r="M207" s="194">
        <v>6740</v>
      </c>
      <c r="N207" s="194">
        <v>143045</v>
      </c>
      <c r="O207" s="194">
        <v>449054</v>
      </c>
      <c r="P207" s="167">
        <f t="shared" si="41"/>
        <v>79427</v>
      </c>
      <c r="Q207" s="29">
        <f t="shared" si="38"/>
        <v>11103</v>
      </c>
      <c r="R207" s="190">
        <f t="shared" si="42"/>
        <v>2.7790472288321225E-2</v>
      </c>
      <c r="S207" s="191">
        <f t="shared" si="37"/>
        <v>2.6108593924088243E-2</v>
      </c>
      <c r="T207" s="146"/>
    </row>
    <row r="208" spans="1:20" x14ac:dyDescent="0.25">
      <c r="A208" s="75">
        <v>44099</v>
      </c>
      <c r="B208" s="4">
        <v>12969</v>
      </c>
      <c r="C208" s="7">
        <f t="shared" ref="C208:C230" si="44">C207+B208</f>
        <v>691235</v>
      </c>
      <c r="D208" s="4">
        <v>442</v>
      </c>
      <c r="E208" s="7">
        <f t="shared" si="43"/>
        <v>15205</v>
      </c>
      <c r="F208" s="200">
        <v>546924</v>
      </c>
      <c r="G208" s="4">
        <v>3595</v>
      </c>
      <c r="H208" s="4">
        <v>25098</v>
      </c>
      <c r="I208" s="4">
        <f t="shared" si="40"/>
        <v>1866089</v>
      </c>
      <c r="J208" s="7">
        <v>1500</v>
      </c>
      <c r="K208" s="7">
        <v>1001959</v>
      </c>
      <c r="L208" s="43">
        <f t="shared" si="39"/>
        <v>1003459</v>
      </c>
      <c r="M208" s="194">
        <v>6798</v>
      </c>
      <c r="N208" s="194">
        <v>145075</v>
      </c>
      <c r="O208" s="194">
        <v>458440</v>
      </c>
      <c r="P208" s="167">
        <f t="shared" si="41"/>
        <v>80922</v>
      </c>
      <c r="Q208" s="29">
        <f t="shared" si="38"/>
        <v>10335</v>
      </c>
      <c r="R208" s="190">
        <f t="shared" si="42"/>
        <v>2.7845336390252971E-2</v>
      </c>
      <c r="S208" s="191">
        <f t="shared" si="37"/>
        <v>2.633639220006305E-2</v>
      </c>
      <c r="T208" s="146"/>
    </row>
    <row r="209" spans="1:20" x14ac:dyDescent="0.25">
      <c r="A209" s="75">
        <v>44100</v>
      </c>
      <c r="B209" s="4">
        <v>11249</v>
      </c>
      <c r="C209" s="7">
        <f t="shared" si="44"/>
        <v>702484</v>
      </c>
      <c r="D209" s="4">
        <v>337</v>
      </c>
      <c r="E209" s="7">
        <f t="shared" si="43"/>
        <v>15542</v>
      </c>
      <c r="F209" s="200">
        <v>556489</v>
      </c>
      <c r="G209" s="4">
        <v>3633</v>
      </c>
      <c r="H209" s="4">
        <v>22101</v>
      </c>
      <c r="I209" s="4">
        <f t="shared" si="40"/>
        <v>1888190</v>
      </c>
      <c r="J209" s="7">
        <v>1537</v>
      </c>
      <c r="K209" s="7">
        <v>1014163</v>
      </c>
      <c r="L209" s="43">
        <f t="shared" si="39"/>
        <v>1015700</v>
      </c>
      <c r="M209" s="194">
        <v>6835</v>
      </c>
      <c r="N209" s="194">
        <v>146416</v>
      </c>
      <c r="O209" s="194">
        <v>464913</v>
      </c>
      <c r="P209" s="167">
        <f t="shared" si="41"/>
        <v>84320</v>
      </c>
      <c r="Q209" s="29">
        <f t="shared" si="38"/>
        <v>9565</v>
      </c>
      <c r="R209" s="190">
        <f t="shared" si="42"/>
        <v>2.7849110407579741E-2</v>
      </c>
      <c r="S209" s="191">
        <f t="shared" si="37"/>
        <v>2.6386559187249158E-2</v>
      </c>
      <c r="T209" s="146"/>
    </row>
    <row r="210" spans="1:20" x14ac:dyDescent="0.25">
      <c r="A210" s="75">
        <v>44101</v>
      </c>
      <c r="B210" s="4">
        <v>8841</v>
      </c>
      <c r="C210" s="7">
        <f t="shared" si="44"/>
        <v>711325</v>
      </c>
      <c r="D210" s="4">
        <v>206</v>
      </c>
      <c r="E210" s="7">
        <f t="shared" si="43"/>
        <v>15748</v>
      </c>
      <c r="F210" s="200">
        <v>565935</v>
      </c>
      <c r="G210" s="4">
        <v>3604</v>
      </c>
      <c r="H210" s="4">
        <v>15171</v>
      </c>
      <c r="I210" s="4">
        <f t="shared" si="40"/>
        <v>1903361</v>
      </c>
      <c r="J210" s="7">
        <v>1567</v>
      </c>
      <c r="K210" s="7">
        <v>1021244</v>
      </c>
      <c r="L210" s="43">
        <f t="shared" si="39"/>
        <v>1022811</v>
      </c>
      <c r="M210" s="194">
        <v>6874</v>
      </c>
      <c r="N210" s="194">
        <v>147538</v>
      </c>
      <c r="O210" s="194">
        <v>469799</v>
      </c>
      <c r="P210" s="167">
        <f t="shared" si="41"/>
        <v>87114</v>
      </c>
      <c r="Q210" s="29">
        <f t="shared" si="38"/>
        <v>9446</v>
      </c>
      <c r="R210" s="190">
        <f t="shared" si="42"/>
        <v>2.779963283503803E-2</v>
      </c>
      <c r="S210" s="191">
        <f t="shared" si="37"/>
        <v>2.6171945761517535E-2</v>
      </c>
      <c r="T210" s="146"/>
    </row>
    <row r="211" spans="1:20" x14ac:dyDescent="0.25">
      <c r="A211" s="75">
        <v>44102</v>
      </c>
      <c r="B211" s="4">
        <v>11807</v>
      </c>
      <c r="C211" s="7">
        <f t="shared" si="44"/>
        <v>723132</v>
      </c>
      <c r="D211" s="4">
        <v>365</v>
      </c>
      <c r="E211" s="7">
        <f t="shared" si="43"/>
        <v>16113</v>
      </c>
      <c r="F211" s="200">
        <v>576715</v>
      </c>
      <c r="G211" s="4">
        <v>3678</v>
      </c>
      <c r="H211" s="4">
        <v>21356</v>
      </c>
      <c r="I211" s="4">
        <f t="shared" si="40"/>
        <v>1924717</v>
      </c>
      <c r="J211" s="7">
        <v>1611</v>
      </c>
      <c r="K211" s="7">
        <v>1031143</v>
      </c>
      <c r="L211" s="43">
        <f t="shared" si="39"/>
        <v>1032754</v>
      </c>
      <c r="M211" s="194">
        <v>6984</v>
      </c>
      <c r="N211" s="194">
        <v>149538</v>
      </c>
      <c r="O211" s="194">
        <v>478119</v>
      </c>
      <c r="P211" s="167">
        <f t="shared" si="41"/>
        <v>88491</v>
      </c>
      <c r="Q211" s="29">
        <f t="shared" si="38"/>
        <v>10780</v>
      </c>
      <c r="R211" s="190">
        <f t="shared" si="42"/>
        <v>2.8226301571709234E-2</v>
      </c>
      <c r="S211" s="191">
        <f>E211/C201</f>
        <v>2.6257296409400676E-2</v>
      </c>
      <c r="T211" s="146"/>
    </row>
    <row r="212" spans="1:20" x14ac:dyDescent="0.25">
      <c r="A212" s="75">
        <v>44103</v>
      </c>
      <c r="B212" s="152">
        <v>13477</v>
      </c>
      <c r="C212" s="7">
        <f t="shared" si="44"/>
        <v>736609</v>
      </c>
      <c r="D212" s="4">
        <v>405</v>
      </c>
      <c r="E212" s="7">
        <f t="shared" si="43"/>
        <v>16518</v>
      </c>
      <c r="F212" s="200">
        <v>585857</v>
      </c>
      <c r="G212" s="4">
        <v>3768</v>
      </c>
      <c r="H212" s="4">
        <v>25072</v>
      </c>
      <c r="I212" s="4">
        <f t="shared" si="40"/>
        <v>1949789</v>
      </c>
      <c r="J212" s="7">
        <v>1774</v>
      </c>
      <c r="K212" s="66">
        <v>1043210</v>
      </c>
      <c r="L212" s="43">
        <f t="shared" si="39"/>
        <v>1044984</v>
      </c>
      <c r="M212" s="194">
        <v>7083</v>
      </c>
      <c r="N212" s="194">
        <v>151787</v>
      </c>
      <c r="O212" s="194">
        <v>487971</v>
      </c>
      <c r="P212" s="167">
        <f t="shared" si="41"/>
        <v>89768</v>
      </c>
      <c r="Q212" s="29">
        <f t="shared" si="38"/>
        <v>9142</v>
      </c>
      <c r="R212" s="190">
        <f t="shared" ref="R212:R220" si="45">G212/(C212-E212-F212)</f>
        <v>2.8070384552348882E-2</v>
      </c>
      <c r="S212" s="191">
        <f t="shared" ref="S212:S214" si="46">E212/C202</f>
        <v>2.6516452786330493E-2</v>
      </c>
    </row>
    <row r="213" spans="1:20" x14ac:dyDescent="0.25">
      <c r="A213" s="75">
        <v>44104</v>
      </c>
      <c r="B213" s="16">
        <v>14392</v>
      </c>
      <c r="C213" s="7">
        <f t="shared" si="44"/>
        <v>751001</v>
      </c>
      <c r="D213" s="4">
        <v>418</v>
      </c>
      <c r="E213" s="7">
        <f t="shared" si="43"/>
        <v>16936</v>
      </c>
      <c r="F213" s="200">
        <v>594645</v>
      </c>
      <c r="G213" s="4">
        <v>3792</v>
      </c>
      <c r="H213" s="4">
        <v>26524</v>
      </c>
      <c r="I213" s="4">
        <f t="shared" si="40"/>
        <v>1976313</v>
      </c>
      <c r="J213" s="153">
        <v>2013</v>
      </c>
      <c r="K213" s="9">
        <v>1055774</v>
      </c>
      <c r="L213" s="183">
        <f t="shared" si="39"/>
        <v>1057787</v>
      </c>
      <c r="M213" s="194">
        <v>7162</v>
      </c>
      <c r="N213" s="194">
        <v>153949</v>
      </c>
      <c r="O213" s="194">
        <v>498519</v>
      </c>
      <c r="P213" s="167">
        <f t="shared" si="41"/>
        <v>91371</v>
      </c>
      <c r="Q213" s="29">
        <f t="shared" si="38"/>
        <v>8788</v>
      </c>
      <c r="R213" s="190">
        <f t="shared" si="45"/>
        <v>2.7198393343853107E-2</v>
      </c>
      <c r="S213" s="191">
        <f t="shared" si="46"/>
        <v>2.682442010564412E-2</v>
      </c>
    </row>
    <row r="214" spans="1:20" x14ac:dyDescent="0.25">
      <c r="A214" s="75">
        <v>44105</v>
      </c>
      <c r="B214" s="4">
        <v>14001</v>
      </c>
      <c r="C214" s="7">
        <f t="shared" si="44"/>
        <v>765002</v>
      </c>
      <c r="D214" s="149">
        <v>3352</v>
      </c>
      <c r="E214" s="7">
        <f t="shared" si="43"/>
        <v>20288</v>
      </c>
      <c r="F214" s="200">
        <v>603140</v>
      </c>
      <c r="G214" s="169">
        <v>3799</v>
      </c>
      <c r="H214" s="4">
        <v>26662</v>
      </c>
      <c r="I214" s="4">
        <f t="shared" si="40"/>
        <v>2002975</v>
      </c>
      <c r="J214" s="153">
        <v>1482</v>
      </c>
      <c r="K214" s="9">
        <v>1068705</v>
      </c>
      <c r="L214" s="183">
        <f t="shared" ref="L214:L225" si="47">K214+J214</f>
        <v>1070187</v>
      </c>
      <c r="M214" s="194">
        <v>7226</v>
      </c>
      <c r="N214" s="194">
        <v>155848</v>
      </c>
      <c r="O214" s="194">
        <v>508945</v>
      </c>
      <c r="P214" s="167">
        <f t="shared" si="41"/>
        <v>92983</v>
      </c>
      <c r="Q214" s="29">
        <f t="shared" si="38"/>
        <v>8495</v>
      </c>
      <c r="R214" s="190">
        <f t="shared" si="45"/>
        <v>2.6834023196349612E-2</v>
      </c>
      <c r="S214" s="191">
        <f t="shared" si="46"/>
        <v>3.1692720578242184E-2</v>
      </c>
    </row>
    <row r="215" spans="1:20" x14ac:dyDescent="0.25">
      <c r="A215" s="75">
        <v>44106</v>
      </c>
      <c r="B215" s="150">
        <v>14687</v>
      </c>
      <c r="C215" s="7">
        <f t="shared" si="44"/>
        <v>779689</v>
      </c>
      <c r="D215" s="4">
        <v>309</v>
      </c>
      <c r="E215" s="7">
        <f t="shared" si="43"/>
        <v>20597</v>
      </c>
      <c r="F215" s="200">
        <v>614515</v>
      </c>
      <c r="G215" s="169">
        <v>3828</v>
      </c>
      <c r="H215" s="4">
        <v>27537</v>
      </c>
      <c r="I215" s="4">
        <f t="shared" si="40"/>
        <v>2030512</v>
      </c>
      <c r="J215" s="7">
        <v>1492</v>
      </c>
      <c r="K215" s="9">
        <v>1082729</v>
      </c>
      <c r="L215" s="43">
        <f t="shared" si="47"/>
        <v>1084221</v>
      </c>
      <c r="M215" s="194">
        <v>7323</v>
      </c>
      <c r="N215" s="194">
        <v>158001</v>
      </c>
      <c r="O215" s="194">
        <v>520163</v>
      </c>
      <c r="P215" s="167">
        <f t="shared" si="41"/>
        <v>94202</v>
      </c>
      <c r="Q215" s="29">
        <f t="shared" si="38"/>
        <v>11375</v>
      </c>
      <c r="R215" s="190">
        <f t="shared" si="45"/>
        <v>2.6477240501601221E-2</v>
      </c>
      <c r="S215" s="62">
        <f t="shared" ref="S215:S232" si="48">E215/C195</f>
        <v>3.7690239916849805E-2</v>
      </c>
    </row>
    <row r="216" spans="1:20" x14ac:dyDescent="0.25">
      <c r="A216" s="87">
        <v>44107</v>
      </c>
      <c r="B216" s="47">
        <v>11129</v>
      </c>
      <c r="C216" s="66">
        <f t="shared" si="44"/>
        <v>790818</v>
      </c>
      <c r="D216" s="47">
        <v>195</v>
      </c>
      <c r="E216" s="66">
        <f t="shared" si="43"/>
        <v>20792</v>
      </c>
      <c r="F216" s="200">
        <v>626114</v>
      </c>
      <c r="G216" s="169">
        <v>3820</v>
      </c>
      <c r="H216" s="47">
        <v>20525</v>
      </c>
      <c r="I216" s="47">
        <f t="shared" si="40"/>
        <v>2051037</v>
      </c>
      <c r="J216" s="66">
        <v>1499</v>
      </c>
      <c r="K216" s="66">
        <v>1095695</v>
      </c>
      <c r="L216" s="184">
        <f t="shared" si="47"/>
        <v>1097194</v>
      </c>
      <c r="M216" s="194">
        <v>7387</v>
      </c>
      <c r="N216" s="194">
        <v>159347</v>
      </c>
      <c r="O216" s="194">
        <v>527803</v>
      </c>
      <c r="P216" s="167">
        <f t="shared" si="41"/>
        <v>96281</v>
      </c>
      <c r="Q216" s="29">
        <f t="shared" si="38"/>
        <v>11599</v>
      </c>
      <c r="R216" s="190">
        <f t="shared" si="45"/>
        <v>2.6543999110567568E-2</v>
      </c>
      <c r="S216" s="62">
        <f t="shared" si="48"/>
        <v>3.7426850056791895E-2</v>
      </c>
    </row>
    <row r="217" spans="1:20" x14ac:dyDescent="0.25">
      <c r="A217" s="75">
        <v>44108</v>
      </c>
      <c r="B217" s="4">
        <v>7668</v>
      </c>
      <c r="C217" s="7">
        <f t="shared" si="44"/>
        <v>798486</v>
      </c>
      <c r="D217" s="4">
        <v>222</v>
      </c>
      <c r="E217" s="7">
        <f t="shared" si="43"/>
        <v>21014</v>
      </c>
      <c r="F217" s="200">
        <v>636672</v>
      </c>
      <c r="G217" s="169">
        <v>3950</v>
      </c>
      <c r="H217" s="4">
        <v>13213</v>
      </c>
      <c r="I217" s="4">
        <f t="shared" si="40"/>
        <v>2064250</v>
      </c>
      <c r="J217" s="7">
        <v>1504</v>
      </c>
      <c r="K217" s="7">
        <v>1103068</v>
      </c>
      <c r="L217" s="43">
        <f t="shared" si="47"/>
        <v>1104572</v>
      </c>
      <c r="M217" s="194">
        <v>7425</v>
      </c>
      <c r="N217" s="194">
        <v>160401</v>
      </c>
      <c r="O217" s="194">
        <v>533573</v>
      </c>
      <c r="P217" s="167">
        <f t="shared" si="41"/>
        <v>97087</v>
      </c>
      <c r="Q217" s="29">
        <f t="shared" si="38"/>
        <v>10558</v>
      </c>
      <c r="R217" s="190">
        <f t="shared" si="45"/>
        <v>2.8053977272727272E-2</v>
      </c>
      <c r="S217" s="62">
        <f t="shared" si="48"/>
        <v>3.7163584144197674E-2</v>
      </c>
    </row>
    <row r="218" spans="1:20" x14ac:dyDescent="0.25">
      <c r="A218" s="75">
        <v>44109</v>
      </c>
      <c r="B218" s="161">
        <v>11242</v>
      </c>
      <c r="C218" s="7">
        <f t="shared" si="44"/>
        <v>809728</v>
      </c>
      <c r="D218" s="4">
        <v>451</v>
      </c>
      <c r="E218" s="7">
        <f t="shared" si="43"/>
        <v>21465</v>
      </c>
      <c r="F218" s="200">
        <v>649017</v>
      </c>
      <c r="G218" s="169">
        <v>3978</v>
      </c>
      <c r="H218" s="4">
        <v>20263</v>
      </c>
      <c r="I218" s="4">
        <f t="shared" si="40"/>
        <v>2084513</v>
      </c>
      <c r="J218" s="7">
        <v>1508</v>
      </c>
      <c r="K218" s="7">
        <v>1113469</v>
      </c>
      <c r="L218" s="43">
        <f t="shared" si="47"/>
        <v>1114977</v>
      </c>
      <c r="M218" s="194">
        <v>7503</v>
      </c>
      <c r="N218" s="194">
        <v>162682</v>
      </c>
      <c r="O218" s="194">
        <v>544916</v>
      </c>
      <c r="P218" s="167">
        <f t="shared" si="41"/>
        <v>94627</v>
      </c>
      <c r="Q218" s="29">
        <f t="shared" si="38"/>
        <v>12345</v>
      </c>
      <c r="R218" s="190">
        <f t="shared" si="45"/>
        <v>2.856814558407423E-2</v>
      </c>
      <c r="S218" s="62">
        <f t="shared" si="48"/>
        <v>3.7179260675722019E-2</v>
      </c>
    </row>
    <row r="219" spans="1:20" x14ac:dyDescent="0.25">
      <c r="A219" s="75">
        <v>44110</v>
      </c>
      <c r="B219" s="161">
        <v>14740</v>
      </c>
      <c r="C219" s="7">
        <f t="shared" si="44"/>
        <v>824468</v>
      </c>
      <c r="D219" s="4">
        <v>359</v>
      </c>
      <c r="E219" s="7">
        <f t="shared" si="43"/>
        <v>21824</v>
      </c>
      <c r="F219" s="200">
        <v>660272</v>
      </c>
      <c r="G219" s="169">
        <v>4007</v>
      </c>
      <c r="H219" s="4">
        <v>26481</v>
      </c>
      <c r="I219" s="4">
        <f t="shared" si="40"/>
        <v>2110994</v>
      </c>
      <c r="J219" s="7">
        <v>1528</v>
      </c>
      <c r="K219" s="7">
        <v>1127417</v>
      </c>
      <c r="L219" s="43">
        <f t="shared" si="47"/>
        <v>1128945</v>
      </c>
      <c r="M219" s="194">
        <v>7581</v>
      </c>
      <c r="N219" s="194">
        <v>165737</v>
      </c>
      <c r="O219" s="194">
        <v>556132</v>
      </c>
      <c r="P219" s="167">
        <f t="shared" si="41"/>
        <v>95018</v>
      </c>
      <c r="Q219" s="29">
        <f t="shared" si="38"/>
        <v>11255</v>
      </c>
      <c r="R219" s="190">
        <f t="shared" si="45"/>
        <v>2.8144578990250892E-2</v>
      </c>
      <c r="S219" s="62">
        <f t="shared" si="48"/>
        <v>3.7051876702002676E-2</v>
      </c>
    </row>
    <row r="220" spans="1:20" x14ac:dyDescent="0.25">
      <c r="A220" s="75">
        <v>44111</v>
      </c>
      <c r="B220" s="161">
        <v>16447</v>
      </c>
      <c r="C220" s="7">
        <f t="shared" si="44"/>
        <v>840915</v>
      </c>
      <c r="D220" s="4">
        <v>401</v>
      </c>
      <c r="E220" s="7">
        <f t="shared" si="43"/>
        <v>22225</v>
      </c>
      <c r="F220" s="200">
        <v>670725</v>
      </c>
      <c r="G220" s="169">
        <v>3997</v>
      </c>
      <c r="H220" s="162">
        <v>29441</v>
      </c>
      <c r="I220" s="4">
        <f t="shared" si="40"/>
        <v>2140435</v>
      </c>
      <c r="J220" s="7">
        <v>1542</v>
      </c>
      <c r="K220" s="7">
        <v>1142661</v>
      </c>
      <c r="L220" s="43">
        <f t="shared" si="47"/>
        <v>1144203</v>
      </c>
      <c r="M220" s="194">
        <v>7669</v>
      </c>
      <c r="N220" s="194">
        <v>168593</v>
      </c>
      <c r="O220" s="194">
        <v>568246</v>
      </c>
      <c r="P220" s="167">
        <f t="shared" si="41"/>
        <v>96407</v>
      </c>
      <c r="Q220" s="29">
        <f t="shared" si="38"/>
        <v>10453</v>
      </c>
      <c r="R220" s="190">
        <f t="shared" si="45"/>
        <v>2.7013145000506878E-2</v>
      </c>
      <c r="S220" s="62">
        <f t="shared" si="48"/>
        <v>3.6936213776335228E-2</v>
      </c>
    </row>
    <row r="221" spans="1:20" x14ac:dyDescent="0.25">
      <c r="A221" s="75">
        <v>44112</v>
      </c>
      <c r="B221" s="4">
        <v>15454</v>
      </c>
      <c r="C221" s="16">
        <f t="shared" si="44"/>
        <v>856369</v>
      </c>
      <c r="D221" s="4">
        <v>485</v>
      </c>
      <c r="E221" s="7">
        <f t="shared" si="43"/>
        <v>22710</v>
      </c>
      <c r="F221" s="200">
        <v>684844</v>
      </c>
      <c r="G221" s="169">
        <v>4043</v>
      </c>
      <c r="H221" s="4">
        <v>25841</v>
      </c>
      <c r="I221" s="4">
        <f t="shared" si="40"/>
        <v>2166276</v>
      </c>
      <c r="J221" s="7">
        <v>1544</v>
      </c>
      <c r="K221" s="7">
        <v>1155668</v>
      </c>
      <c r="L221" s="43">
        <f t="shared" si="47"/>
        <v>1157212</v>
      </c>
      <c r="M221" s="194">
        <v>7761</v>
      </c>
      <c r="N221" s="194">
        <v>171322</v>
      </c>
      <c r="O221" s="194">
        <v>578517</v>
      </c>
      <c r="P221" s="167">
        <f t="shared" si="41"/>
        <v>98769</v>
      </c>
      <c r="Q221" s="29">
        <f t="shared" si="38"/>
        <v>14119</v>
      </c>
      <c r="R221" s="190">
        <f t="shared" ref="R221:R227" si="49">G221/(C221-E221-F221)</f>
        <v>2.7167960219063939E-2</v>
      </c>
      <c r="S221" s="62">
        <f t="shared" si="48"/>
        <v>3.7007584028889054E-2</v>
      </c>
    </row>
    <row r="222" spans="1:20" x14ac:dyDescent="0.25">
      <c r="A222" s="163">
        <v>44113</v>
      </c>
      <c r="B222" s="164">
        <v>15099</v>
      </c>
      <c r="C222" s="16">
        <f t="shared" si="44"/>
        <v>871468</v>
      </c>
      <c r="D222" s="165">
        <v>514</v>
      </c>
      <c r="E222" s="66">
        <f t="shared" si="43"/>
        <v>23224</v>
      </c>
      <c r="F222" s="200">
        <v>697141</v>
      </c>
      <c r="G222" s="169">
        <v>4092</v>
      </c>
      <c r="H222" s="47">
        <v>25174</v>
      </c>
      <c r="I222" s="47">
        <f t="shared" si="40"/>
        <v>2191450</v>
      </c>
      <c r="J222" s="66">
        <v>1564</v>
      </c>
      <c r="K222" s="66">
        <v>1172099</v>
      </c>
      <c r="L222" s="184">
        <f t="shared" si="47"/>
        <v>1173663</v>
      </c>
      <c r="M222" s="194">
        <v>7817</v>
      </c>
      <c r="N222" s="194">
        <v>174267</v>
      </c>
      <c r="O222" s="194">
        <v>588788</v>
      </c>
      <c r="P222" s="167">
        <f t="shared" si="41"/>
        <v>100596</v>
      </c>
      <c r="Q222" s="29">
        <f t="shared" si="38"/>
        <v>12297</v>
      </c>
      <c r="R222" s="190">
        <f t="shared" si="49"/>
        <v>2.7080865369979418E-2</v>
      </c>
      <c r="S222" s="62">
        <f t="shared" si="48"/>
        <v>3.7281638183178312E-2</v>
      </c>
    </row>
    <row r="223" spans="1:20" x14ac:dyDescent="0.25">
      <c r="A223" s="166">
        <v>44114</v>
      </c>
      <c r="B223" s="167">
        <v>12414</v>
      </c>
      <c r="C223" s="16">
        <f t="shared" si="44"/>
        <v>883882</v>
      </c>
      <c r="D223" s="167">
        <v>357</v>
      </c>
      <c r="E223" s="168">
        <f t="shared" si="43"/>
        <v>23581</v>
      </c>
      <c r="F223" s="200">
        <v>709464</v>
      </c>
      <c r="G223" s="169">
        <v>4200</v>
      </c>
      <c r="H223" s="167">
        <v>19871</v>
      </c>
      <c r="I223" s="167">
        <f t="shared" si="40"/>
        <v>2211321</v>
      </c>
      <c r="J223" s="168">
        <v>1566</v>
      </c>
      <c r="K223" s="168">
        <v>1182752</v>
      </c>
      <c r="L223" s="185">
        <f t="shared" si="47"/>
        <v>1184318</v>
      </c>
      <c r="M223" s="194">
        <v>7886</v>
      </c>
      <c r="N223" s="194">
        <v>176230</v>
      </c>
      <c r="O223" s="194">
        <v>594738</v>
      </c>
      <c r="P223" s="167">
        <f t="shared" si="41"/>
        <v>105028</v>
      </c>
      <c r="Q223" s="29">
        <f t="shared" si="38"/>
        <v>12323</v>
      </c>
      <c r="R223" s="190">
        <f t="shared" si="49"/>
        <v>2.7844626981443545E-2</v>
      </c>
      <c r="S223" s="62">
        <f t="shared" si="48"/>
        <v>3.7349235386820619E-2</v>
      </c>
    </row>
    <row r="224" spans="1:20" x14ac:dyDescent="0.25">
      <c r="A224" s="197">
        <v>44115</v>
      </c>
      <c r="B224" s="198">
        <v>10324</v>
      </c>
      <c r="C224" s="207">
        <f t="shared" si="44"/>
        <v>894206</v>
      </c>
      <c r="D224" s="198">
        <v>287</v>
      </c>
      <c r="E224" s="199">
        <f t="shared" si="43"/>
        <v>23868</v>
      </c>
      <c r="F224" s="200">
        <v>721380</v>
      </c>
      <c r="G224" s="201">
        <v>4237</v>
      </c>
      <c r="H224" s="198">
        <v>14237</v>
      </c>
      <c r="I224" s="207">
        <v>2225558</v>
      </c>
      <c r="J224" s="199">
        <v>1567</v>
      </c>
      <c r="K224" s="199">
        <v>1189378</v>
      </c>
      <c r="L224" s="208">
        <f t="shared" si="47"/>
        <v>1190945</v>
      </c>
      <c r="M224" s="203">
        <v>7932</v>
      </c>
      <c r="N224" s="203">
        <v>177557</v>
      </c>
      <c r="O224" s="203">
        <v>599352</v>
      </c>
      <c r="P224" s="198">
        <f t="shared" si="41"/>
        <v>109365</v>
      </c>
      <c r="Q224" s="29">
        <f t="shared" si="38"/>
        <v>11916</v>
      </c>
      <c r="R224" s="205">
        <f t="shared" si="49"/>
        <v>2.8444259455685496E-2</v>
      </c>
      <c r="S224" s="156">
        <f t="shared" si="48"/>
        <v>3.7285186058827115E-2</v>
      </c>
    </row>
    <row r="225" spans="1:19" x14ac:dyDescent="0.25">
      <c r="A225" s="158">
        <v>44116</v>
      </c>
      <c r="B225" s="4">
        <v>9524</v>
      </c>
      <c r="C225" s="16">
        <f t="shared" si="44"/>
        <v>903730</v>
      </c>
      <c r="D225" s="4">
        <v>318</v>
      </c>
      <c r="E225" s="7">
        <f t="shared" si="43"/>
        <v>24186</v>
      </c>
      <c r="F225" s="206">
        <v>732582</v>
      </c>
      <c r="G225" s="16">
        <v>4287</v>
      </c>
      <c r="H225" s="4">
        <v>13956</v>
      </c>
      <c r="I225" s="16">
        <f t="shared" ref="I225:I231" si="50">I224+H225</f>
        <v>2239514</v>
      </c>
      <c r="J225" s="7">
        <v>1567</v>
      </c>
      <c r="K225" s="7">
        <v>1196534</v>
      </c>
      <c r="L225" s="12">
        <f t="shared" si="47"/>
        <v>1198101</v>
      </c>
      <c r="M225" s="9">
        <v>7963</v>
      </c>
      <c r="N225" s="9">
        <v>179298</v>
      </c>
      <c r="O225" s="9">
        <v>608522</v>
      </c>
      <c r="P225" s="4">
        <f t="shared" si="41"/>
        <v>107947</v>
      </c>
      <c r="Q225" s="29">
        <f t="shared" si="38"/>
        <v>11202</v>
      </c>
      <c r="R225" s="72">
        <f t="shared" si="49"/>
        <v>2.9170806058709055E-2</v>
      </c>
      <c r="S225" s="62">
        <f t="shared" si="48"/>
        <v>3.7085195055307323E-2</v>
      </c>
    </row>
    <row r="226" spans="1:19" x14ac:dyDescent="0.25">
      <c r="A226" s="158">
        <v>44117</v>
      </c>
      <c r="B226" s="4">
        <v>13305</v>
      </c>
      <c r="C226" s="16">
        <f t="shared" si="44"/>
        <v>917035</v>
      </c>
      <c r="D226" s="4">
        <v>385</v>
      </c>
      <c r="E226" s="7">
        <f t="shared" si="43"/>
        <v>24571</v>
      </c>
      <c r="F226" s="206">
        <v>742235</v>
      </c>
      <c r="G226" s="16">
        <v>4294</v>
      </c>
      <c r="H226" s="16">
        <v>20544</v>
      </c>
      <c r="I226" s="16">
        <f t="shared" si="50"/>
        <v>2260058</v>
      </c>
      <c r="J226" s="7">
        <v>1574</v>
      </c>
      <c r="K226" s="7">
        <v>1207475</v>
      </c>
      <c r="L226" s="7">
        <f t="shared" ref="L226:L229" si="51">J226+K226</f>
        <v>1209049</v>
      </c>
      <c r="M226" s="9">
        <v>8033</v>
      </c>
      <c r="N226" s="9">
        <v>182045</v>
      </c>
      <c r="O226" s="9">
        <v>619199</v>
      </c>
      <c r="P226" s="4">
        <f t="shared" si="41"/>
        <v>107758</v>
      </c>
      <c r="Q226" s="29">
        <f t="shared" si="38"/>
        <v>9653</v>
      </c>
      <c r="R226" s="72">
        <f t="shared" si="49"/>
        <v>2.8583029907674282E-2</v>
      </c>
      <c r="S226" s="62">
        <f t="shared" si="48"/>
        <v>3.6960043562039052E-2</v>
      </c>
    </row>
    <row r="227" spans="1:19" x14ac:dyDescent="0.25">
      <c r="A227" s="158">
        <v>44118</v>
      </c>
      <c r="B227" s="4">
        <v>14932</v>
      </c>
      <c r="C227" s="16">
        <f t="shared" si="44"/>
        <v>931967</v>
      </c>
      <c r="D227" s="4">
        <v>350</v>
      </c>
      <c r="E227" s="7">
        <f t="shared" si="43"/>
        <v>24921</v>
      </c>
      <c r="F227" s="206">
        <v>751146</v>
      </c>
      <c r="G227" s="16">
        <v>4316</v>
      </c>
      <c r="H227" s="4">
        <v>23519</v>
      </c>
      <c r="I227" s="16">
        <f t="shared" si="50"/>
        <v>2283577</v>
      </c>
      <c r="J227" s="7">
        <v>1574</v>
      </c>
      <c r="K227" s="7">
        <v>1219715</v>
      </c>
      <c r="L227" s="7">
        <f t="shared" si="51"/>
        <v>1221289</v>
      </c>
      <c r="M227" s="9">
        <v>8098</v>
      </c>
      <c r="N227" s="9">
        <v>184890</v>
      </c>
      <c r="O227" s="9">
        <v>629734</v>
      </c>
      <c r="P227" s="4">
        <f t="shared" si="41"/>
        <v>109245</v>
      </c>
      <c r="Q227" s="29">
        <f t="shared" si="38"/>
        <v>8911</v>
      </c>
      <c r="R227" s="72">
        <f t="shared" si="49"/>
        <v>2.7684413085311096E-2</v>
      </c>
      <c r="S227" s="62">
        <f t="shared" si="48"/>
        <v>3.6742222078063769E-2</v>
      </c>
    </row>
    <row r="228" spans="1:19" x14ac:dyDescent="0.25">
      <c r="A228" s="158">
        <v>44119</v>
      </c>
      <c r="B228" s="149">
        <v>17096</v>
      </c>
      <c r="C228" s="16">
        <f t="shared" si="44"/>
        <v>949063</v>
      </c>
      <c r="D228" s="4">
        <v>421</v>
      </c>
      <c r="E228" s="7">
        <f t="shared" si="43"/>
        <v>25342</v>
      </c>
      <c r="F228" s="206">
        <v>764859</v>
      </c>
      <c r="G228" s="16">
        <v>4278</v>
      </c>
      <c r="H228" s="4">
        <v>27662</v>
      </c>
      <c r="I228" s="16">
        <f t="shared" si="50"/>
        <v>2311239</v>
      </c>
      <c r="J228" s="7">
        <v>1575</v>
      </c>
      <c r="K228" s="7">
        <v>1234321</v>
      </c>
      <c r="L228" s="7">
        <f t="shared" si="51"/>
        <v>1235896</v>
      </c>
      <c r="M228" s="9">
        <v>8172</v>
      </c>
      <c r="N228" s="9">
        <v>187747</v>
      </c>
      <c r="O228" s="9">
        <v>642465</v>
      </c>
      <c r="P228" s="4">
        <f t="shared" si="41"/>
        <v>110679</v>
      </c>
      <c r="Q228" s="29">
        <f t="shared" si="38"/>
        <v>13713</v>
      </c>
      <c r="R228" s="72">
        <f t="shared" ref="R228:R232" si="52">G228/(C228-E228-F228)</f>
        <v>2.692903274540167E-2</v>
      </c>
      <c r="S228" s="62">
        <f t="shared" si="48"/>
        <v>3.6661916714286751E-2</v>
      </c>
    </row>
    <row r="229" spans="1:19" x14ac:dyDescent="0.25">
      <c r="A229" s="158">
        <v>44120</v>
      </c>
      <c r="B229" s="16">
        <v>16546</v>
      </c>
      <c r="C229" s="16">
        <f t="shared" si="44"/>
        <v>965609</v>
      </c>
      <c r="D229" s="4">
        <v>379</v>
      </c>
      <c r="E229" s="7">
        <f t="shared" si="43"/>
        <v>25721</v>
      </c>
      <c r="F229" s="206">
        <v>778501</v>
      </c>
      <c r="G229" s="16">
        <v>4346</v>
      </c>
      <c r="H229" s="4">
        <v>27412</v>
      </c>
      <c r="I229" s="16">
        <f t="shared" si="50"/>
        <v>2338651</v>
      </c>
      <c r="J229" s="7">
        <v>1597</v>
      </c>
      <c r="K229" s="7">
        <v>1248101</v>
      </c>
      <c r="L229" s="7">
        <f t="shared" si="51"/>
        <v>1249698</v>
      </c>
      <c r="M229" s="9">
        <v>8249</v>
      </c>
      <c r="N229" s="9">
        <v>190484</v>
      </c>
      <c r="O229" s="9">
        <v>653179</v>
      </c>
      <c r="P229" s="4">
        <f t="shared" si="41"/>
        <v>113697</v>
      </c>
      <c r="Q229" s="29">
        <f t="shared" si="38"/>
        <v>13642</v>
      </c>
      <c r="R229" s="72">
        <f t="shared" si="52"/>
        <v>2.6929058722201912E-2</v>
      </c>
      <c r="S229" s="62">
        <f t="shared" si="48"/>
        <v>3.6614357052972023E-2</v>
      </c>
    </row>
    <row r="230" spans="1:19" x14ac:dyDescent="0.25">
      <c r="A230" s="158">
        <v>44121</v>
      </c>
      <c r="B230" s="16">
        <v>13510</v>
      </c>
      <c r="C230" s="16">
        <f t="shared" si="44"/>
        <v>979119</v>
      </c>
      <c r="D230" s="4">
        <v>383</v>
      </c>
      <c r="E230" s="7">
        <f t="shared" si="43"/>
        <v>26104</v>
      </c>
      <c r="F230" s="206">
        <v>791174</v>
      </c>
      <c r="G230" s="16">
        <v>4386</v>
      </c>
      <c r="H230" s="4">
        <v>20955</v>
      </c>
      <c r="I230" s="16">
        <f t="shared" si="50"/>
        <v>2359606</v>
      </c>
      <c r="J230" s="7">
        <v>1611</v>
      </c>
      <c r="K230" s="7">
        <v>1260920</v>
      </c>
      <c r="L230" s="7">
        <f>J230+K230</f>
        <v>1262531</v>
      </c>
      <c r="M230" s="9">
        <v>8311</v>
      </c>
      <c r="N230" s="9">
        <v>192192</v>
      </c>
      <c r="O230" s="9">
        <v>661955</v>
      </c>
      <c r="P230" s="4">
        <f t="shared" si="41"/>
        <v>116661</v>
      </c>
      <c r="Q230" s="29">
        <f t="shared" si="38"/>
        <v>12673</v>
      </c>
      <c r="R230" s="72">
        <f t="shared" si="52"/>
        <v>2.7100672882644075E-2</v>
      </c>
      <c r="S230" s="62">
        <f t="shared" si="48"/>
        <v>3.6697712016307595E-2</v>
      </c>
    </row>
    <row r="231" spans="1:19" x14ac:dyDescent="0.25">
      <c r="A231" s="158">
        <v>44122</v>
      </c>
      <c r="B231" s="16">
        <v>10561</v>
      </c>
      <c r="C231" s="16">
        <f t="shared" ref="C231:C241" si="53">C230+B231</f>
        <v>989680</v>
      </c>
      <c r="D231" s="4">
        <v>161</v>
      </c>
      <c r="E231" s="7">
        <f t="shared" ref="E231:E240" si="54">E230+D231</f>
        <v>26265</v>
      </c>
      <c r="F231" s="206">
        <v>803965</v>
      </c>
      <c r="G231" s="16">
        <v>4387</v>
      </c>
      <c r="H231" s="4">
        <v>13890</v>
      </c>
      <c r="I231" s="16">
        <f t="shared" si="50"/>
        <v>2373496</v>
      </c>
      <c r="J231" s="7">
        <v>1617</v>
      </c>
      <c r="K231" s="7">
        <v>1269203</v>
      </c>
      <c r="L231" s="4">
        <f>J231+K231</f>
        <v>1270820</v>
      </c>
      <c r="M231" s="9">
        <v>8370</v>
      </c>
      <c r="N231" s="9">
        <v>193297</v>
      </c>
      <c r="O231" s="9">
        <v>669231</v>
      </c>
      <c r="P231" s="4">
        <f t="shared" si="41"/>
        <v>118782</v>
      </c>
      <c r="Q231" s="29">
        <f t="shared" si="38"/>
        <v>12791</v>
      </c>
      <c r="R231" s="72">
        <f t="shared" si="52"/>
        <v>2.751332706177485E-2</v>
      </c>
      <c r="S231" s="62">
        <f t="shared" si="48"/>
        <v>3.6321169578998024E-2</v>
      </c>
    </row>
    <row r="232" spans="1:19" x14ac:dyDescent="0.25">
      <c r="A232" s="158">
        <v>44123</v>
      </c>
      <c r="B232" s="16">
        <v>12982</v>
      </c>
      <c r="C232" s="16">
        <f t="shared" si="53"/>
        <v>1002662</v>
      </c>
      <c r="D232" s="4">
        <v>448</v>
      </c>
      <c r="E232" s="7">
        <f t="shared" si="54"/>
        <v>26713</v>
      </c>
      <c r="F232" s="206">
        <v>816247</v>
      </c>
      <c r="G232" s="16">
        <v>4392</v>
      </c>
      <c r="H232" s="4">
        <v>28395</v>
      </c>
      <c r="I232" s="16">
        <v>2626406</v>
      </c>
      <c r="J232" s="7">
        <v>1656</v>
      </c>
      <c r="K232" s="7">
        <v>1281757</v>
      </c>
      <c r="L232" s="4">
        <v>1283413</v>
      </c>
      <c r="M232" s="4">
        <v>8406</v>
      </c>
      <c r="N232" s="4">
        <v>195959</v>
      </c>
      <c r="O232" s="4">
        <v>676839</v>
      </c>
      <c r="P232" s="4">
        <v>121458</v>
      </c>
      <c r="Q232" s="29">
        <f t="shared" si="38"/>
        <v>12282</v>
      </c>
      <c r="R232" s="72">
        <f t="shared" si="52"/>
        <v>2.7501221024157495E-2</v>
      </c>
      <c r="S232" s="62">
        <f t="shared" si="48"/>
        <v>3.6264829780792797E-2</v>
      </c>
    </row>
    <row r="233" spans="1:19" x14ac:dyDescent="0.25">
      <c r="A233" s="158">
        <v>44124</v>
      </c>
      <c r="B233" s="16">
        <v>16337</v>
      </c>
      <c r="C233" s="16">
        <f t="shared" si="53"/>
        <v>1018999</v>
      </c>
      <c r="D233" s="4">
        <v>382</v>
      </c>
      <c r="E233" s="7">
        <f t="shared" si="54"/>
        <v>27095</v>
      </c>
      <c r="F233" s="206">
        <v>829647</v>
      </c>
      <c r="G233" s="16">
        <v>4451</v>
      </c>
      <c r="H233" s="16">
        <v>37474</v>
      </c>
      <c r="I233" s="16">
        <v>2663880</v>
      </c>
      <c r="J233" s="7">
        <v>1707</v>
      </c>
      <c r="K233" s="7">
        <v>1298433</v>
      </c>
      <c r="L233" s="4">
        <v>1283413</v>
      </c>
      <c r="M233" s="4">
        <v>8482</v>
      </c>
      <c r="N233" s="4">
        <v>199382</v>
      </c>
      <c r="O233" s="4">
        <v>689632</v>
      </c>
      <c r="P233" s="16">
        <f>C233-M233-N233-O233</f>
        <v>121503</v>
      </c>
      <c r="Q233" s="29">
        <f t="shared" si="38"/>
        <v>13400</v>
      </c>
      <c r="R233" s="72">
        <f t="shared" ref="R233" si="55">G233/(C233-E233-F233)</f>
        <v>2.7431790307968225E-2</v>
      </c>
      <c r="S233" s="62">
        <f>E233/C213</f>
        <v>3.6078513876812414E-2</v>
      </c>
    </row>
    <row r="234" spans="1:19" x14ac:dyDescent="0.25">
      <c r="A234" s="158">
        <v>44125</v>
      </c>
      <c r="B234" s="220">
        <v>18326</v>
      </c>
      <c r="C234" s="16">
        <f t="shared" si="53"/>
        <v>1037325</v>
      </c>
      <c r="D234" s="4">
        <v>423</v>
      </c>
      <c r="E234" s="7">
        <f t="shared" si="54"/>
        <v>27518</v>
      </c>
      <c r="F234" s="206">
        <v>840520</v>
      </c>
      <c r="G234" s="16">
        <v>4573</v>
      </c>
      <c r="H234" s="16">
        <v>38340</v>
      </c>
      <c r="I234" s="16">
        <f t="shared" ref="I234:I239" si="56">I233+H234</f>
        <v>2702220</v>
      </c>
      <c r="J234" s="7">
        <v>1753</v>
      </c>
      <c r="K234" s="7">
        <v>1314443</v>
      </c>
      <c r="L234" s="7">
        <f>J234+K234</f>
        <v>1316196</v>
      </c>
      <c r="M234" s="4">
        <v>8552</v>
      </c>
      <c r="N234" s="4">
        <v>202216</v>
      </c>
      <c r="O234" s="4">
        <v>702103</v>
      </c>
      <c r="P234" s="16">
        <f>C234-M234-N234-O234</f>
        <v>124454</v>
      </c>
      <c r="Q234" s="29">
        <f t="shared" si="38"/>
        <v>10873</v>
      </c>
      <c r="R234" s="72">
        <f t="shared" ref="R234" si="57">G234/(C234-E234-F234)</f>
        <v>2.7013296945424044E-2</v>
      </c>
      <c r="S234" s="62">
        <f>E234/C214</f>
        <v>3.597114778784892E-2</v>
      </c>
    </row>
    <row r="235" spans="1:19" x14ac:dyDescent="0.25">
      <c r="A235" s="158">
        <v>44126</v>
      </c>
      <c r="B235" s="16">
        <v>16325</v>
      </c>
      <c r="C235" s="16">
        <f t="shared" si="53"/>
        <v>1053650</v>
      </c>
      <c r="D235" s="4">
        <v>437</v>
      </c>
      <c r="E235" s="7">
        <f t="shared" si="54"/>
        <v>27955</v>
      </c>
      <c r="F235" s="206">
        <v>851854</v>
      </c>
      <c r="G235" s="16">
        <v>4611</v>
      </c>
      <c r="H235" s="4">
        <v>39196</v>
      </c>
      <c r="I235" s="16">
        <f t="shared" si="56"/>
        <v>2741416</v>
      </c>
      <c r="J235" s="7">
        <v>1832</v>
      </c>
      <c r="K235" s="7">
        <v>1332741</v>
      </c>
      <c r="L235" s="7">
        <f>K235+J235</f>
        <v>1334573</v>
      </c>
      <c r="M235" s="4">
        <v>8614</v>
      </c>
      <c r="N235" s="4">
        <v>205085</v>
      </c>
      <c r="O235" s="4">
        <v>714929</v>
      </c>
      <c r="P235" s="16">
        <f>C235-M235-N235-O235</f>
        <v>125022</v>
      </c>
      <c r="Q235" s="29">
        <f t="shared" si="38"/>
        <v>11334</v>
      </c>
      <c r="R235" s="72">
        <f t="shared" ref="R235" si="58">G235/(C235-E235-F235)</f>
        <v>2.6524237665452914E-2</v>
      </c>
      <c r="S235" s="62">
        <f>E235/C215</f>
        <v>3.5854039238722109E-2</v>
      </c>
    </row>
    <row r="236" spans="1:19" x14ac:dyDescent="0.25">
      <c r="A236" s="158">
        <v>44127</v>
      </c>
      <c r="B236" s="16">
        <v>15718</v>
      </c>
      <c r="C236" s="16">
        <f t="shared" si="53"/>
        <v>1069368</v>
      </c>
      <c r="D236" s="4">
        <v>382</v>
      </c>
      <c r="E236" s="7">
        <f t="shared" si="54"/>
        <v>28337</v>
      </c>
      <c r="F236" s="206">
        <v>866695</v>
      </c>
      <c r="G236" s="16">
        <v>4696</v>
      </c>
      <c r="H236" s="16">
        <v>35671</v>
      </c>
      <c r="I236" s="16">
        <f t="shared" si="56"/>
        <v>2777087</v>
      </c>
      <c r="J236" s="7">
        <v>1839</v>
      </c>
      <c r="K236" s="7">
        <v>1348372</v>
      </c>
      <c r="L236" s="7">
        <f t="shared" ref="L236:L249" si="59">K236+J236</f>
        <v>1350211</v>
      </c>
      <c r="M236" s="4">
        <v>8671</v>
      </c>
      <c r="N236" s="9">
        <v>208116</v>
      </c>
      <c r="O236" s="9">
        <v>727467</v>
      </c>
      <c r="P236" s="16">
        <f t="shared" ref="P236:P249" si="60">C236-M236-N236-O236</f>
        <v>125114</v>
      </c>
      <c r="Q236" s="29">
        <f t="shared" si="38"/>
        <v>14841</v>
      </c>
      <c r="R236" s="72">
        <f t="shared" ref="R236:R238" si="61">G236/(C236-E236-F236)</f>
        <v>2.6936490455212923E-2</v>
      </c>
      <c r="S236" s="62">
        <f t="shared" ref="S236:S238" si="62">E236/C216</f>
        <v>3.5832517722156045E-2</v>
      </c>
    </row>
    <row r="237" spans="1:19" x14ac:dyDescent="0.25">
      <c r="A237" s="158">
        <v>44128</v>
      </c>
      <c r="B237" s="16">
        <v>11968</v>
      </c>
      <c r="C237" s="16">
        <f t="shared" si="53"/>
        <v>1081336</v>
      </c>
      <c r="D237" s="4">
        <v>274</v>
      </c>
      <c r="E237" s="7">
        <f t="shared" si="54"/>
        <v>28611</v>
      </c>
      <c r="F237" s="206">
        <v>881113</v>
      </c>
      <c r="G237" s="16">
        <v>4850</v>
      </c>
      <c r="H237" s="4">
        <v>27027</v>
      </c>
      <c r="I237" s="16">
        <f t="shared" si="56"/>
        <v>2804114</v>
      </c>
      <c r="J237" s="7">
        <v>1868</v>
      </c>
      <c r="K237" s="7">
        <v>1359984</v>
      </c>
      <c r="L237" s="7">
        <f t="shared" si="59"/>
        <v>1361852</v>
      </c>
      <c r="M237" s="4">
        <v>8708</v>
      </c>
      <c r="N237" s="9">
        <v>210053</v>
      </c>
      <c r="O237" s="9">
        <v>735763</v>
      </c>
      <c r="P237" s="16">
        <f t="shared" si="60"/>
        <v>126812</v>
      </c>
      <c r="Q237" s="29">
        <f t="shared" si="38"/>
        <v>14418</v>
      </c>
      <c r="R237" s="72">
        <f t="shared" si="61"/>
        <v>2.8261426939841038E-2</v>
      </c>
      <c r="S237" s="62">
        <f t="shared" si="62"/>
        <v>3.5831561229627072E-2</v>
      </c>
    </row>
    <row r="238" spans="1:19" x14ac:dyDescent="0.25">
      <c r="A238" s="158">
        <v>44129</v>
      </c>
      <c r="B238" s="16">
        <v>9253</v>
      </c>
      <c r="C238" s="16">
        <f t="shared" si="53"/>
        <v>1090589</v>
      </c>
      <c r="D238" s="4">
        <v>283</v>
      </c>
      <c r="E238" s="7">
        <f t="shared" si="54"/>
        <v>28894</v>
      </c>
      <c r="F238" s="206">
        <v>894819</v>
      </c>
      <c r="G238" s="16">
        <v>4863</v>
      </c>
      <c r="H238" s="4">
        <v>20303</v>
      </c>
      <c r="I238" s="16">
        <f t="shared" si="56"/>
        <v>2824417</v>
      </c>
      <c r="J238" s="7">
        <v>1904</v>
      </c>
      <c r="K238" s="7">
        <v>1367953</v>
      </c>
      <c r="L238" s="7">
        <f t="shared" si="59"/>
        <v>1369857</v>
      </c>
      <c r="M238" s="4">
        <v>8749</v>
      </c>
      <c r="N238" s="4">
        <v>211123</v>
      </c>
      <c r="O238" s="4">
        <v>741313</v>
      </c>
      <c r="P238" s="4">
        <f t="shared" si="60"/>
        <v>129404</v>
      </c>
      <c r="Q238" s="29">
        <f t="shared" si="38"/>
        <v>13706</v>
      </c>
      <c r="R238" s="72">
        <f t="shared" si="61"/>
        <v>2.9141398403605072E-2</v>
      </c>
      <c r="S238" s="62">
        <f t="shared" si="62"/>
        <v>3.5683587575086946E-2</v>
      </c>
    </row>
    <row r="239" spans="1:19" x14ac:dyDescent="0.25">
      <c r="A239" s="158">
        <v>44130</v>
      </c>
      <c r="B239" s="4">
        <v>11712</v>
      </c>
      <c r="C239" s="16">
        <f t="shared" si="53"/>
        <v>1102301</v>
      </c>
      <c r="D239" s="4">
        <v>405</v>
      </c>
      <c r="E239" s="7">
        <f t="shared" si="54"/>
        <v>29299</v>
      </c>
      <c r="F239" s="206">
        <v>909586</v>
      </c>
      <c r="G239" s="4">
        <v>5038</v>
      </c>
      <c r="H239" s="4">
        <v>26448</v>
      </c>
      <c r="I239" s="16">
        <f t="shared" si="56"/>
        <v>2850865</v>
      </c>
      <c r="J239" s="7">
        <v>1956</v>
      </c>
      <c r="K239" s="7">
        <v>1378916</v>
      </c>
      <c r="L239" s="4">
        <f t="shared" si="59"/>
        <v>1380872</v>
      </c>
      <c r="M239" s="9">
        <v>8816</v>
      </c>
      <c r="N239" s="9">
        <v>213578</v>
      </c>
      <c r="O239" s="9">
        <v>753406</v>
      </c>
      <c r="P239" s="4">
        <f t="shared" si="60"/>
        <v>126501</v>
      </c>
      <c r="Q239" s="29">
        <f t="shared" si="38"/>
        <v>14767</v>
      </c>
      <c r="R239" s="72">
        <f t="shared" ref="R239" si="63">G239/(C239-E239-F239)</f>
        <v>3.0829294561120085E-2</v>
      </c>
      <c r="S239" s="62">
        <f t="shared" ref="S239" si="64">E239/C219</f>
        <v>3.5536855281223773E-2</v>
      </c>
    </row>
    <row r="240" spans="1:19" x14ac:dyDescent="0.25">
      <c r="A240" s="158">
        <v>44131</v>
      </c>
      <c r="B240" s="4">
        <v>14308</v>
      </c>
      <c r="C240" s="16">
        <f t="shared" si="53"/>
        <v>1116609</v>
      </c>
      <c r="D240" s="4">
        <v>425</v>
      </c>
      <c r="E240" s="7">
        <f t="shared" si="54"/>
        <v>29724</v>
      </c>
      <c r="F240" s="206">
        <v>921344</v>
      </c>
      <c r="G240" s="16">
        <v>4952</v>
      </c>
      <c r="H240" s="4">
        <v>32847</v>
      </c>
      <c r="I240" s="16">
        <v>2882949</v>
      </c>
      <c r="J240" s="7">
        <v>2043</v>
      </c>
      <c r="K240" s="7">
        <v>1392805</v>
      </c>
      <c r="L240" s="4">
        <f t="shared" si="59"/>
        <v>1394848</v>
      </c>
      <c r="M240" s="4">
        <v>8868</v>
      </c>
      <c r="N240" s="4">
        <v>216480</v>
      </c>
      <c r="O240" s="4">
        <v>765831</v>
      </c>
      <c r="P240" s="4">
        <f t="shared" si="60"/>
        <v>125430</v>
      </c>
      <c r="Q240" s="29">
        <f t="shared" si="38"/>
        <v>11758</v>
      </c>
      <c r="R240" s="72">
        <f t="shared" ref="R240" si="65">G240/(C240-E240-F240)</f>
        <v>2.991403942225793E-2</v>
      </c>
      <c r="S240" s="62">
        <f t="shared" ref="S240" si="66">E240/C220</f>
        <v>3.5347211073651914E-2</v>
      </c>
    </row>
    <row r="241" spans="1:19" x14ac:dyDescent="0.25">
      <c r="A241" s="158">
        <v>44132</v>
      </c>
      <c r="B241" s="4">
        <v>13924</v>
      </c>
      <c r="C241" s="16">
        <f t="shared" si="53"/>
        <v>1130533</v>
      </c>
      <c r="D241" s="4">
        <v>345</v>
      </c>
      <c r="E241" s="7">
        <f>D241+E240</f>
        <v>30069</v>
      </c>
      <c r="F241" s="29">
        <v>931147</v>
      </c>
      <c r="G241" s="16">
        <v>5037</v>
      </c>
      <c r="H241" s="4">
        <v>32827</v>
      </c>
      <c r="I241" s="16">
        <f t="shared" ref="I241:I246" si="67">I240+H241</f>
        <v>2915776</v>
      </c>
      <c r="J241" s="7">
        <v>2109</v>
      </c>
      <c r="K241" s="7">
        <v>1406416</v>
      </c>
      <c r="L241" s="4">
        <f t="shared" si="59"/>
        <v>1408525</v>
      </c>
      <c r="M241" s="9">
        <v>8959</v>
      </c>
      <c r="N241" s="9">
        <v>219233</v>
      </c>
      <c r="O241" s="9">
        <v>777424</v>
      </c>
      <c r="P241" s="4">
        <f t="shared" si="60"/>
        <v>124917</v>
      </c>
      <c r="Q241" s="29">
        <f t="shared" si="38"/>
        <v>9803</v>
      </c>
      <c r="R241" s="72">
        <f t="shared" ref="R241" si="68">G241/(C241-E241-F241)</f>
        <v>2.97489324757703E-2</v>
      </c>
      <c r="S241" s="62">
        <f t="shared" ref="S241" si="69">E241/C221</f>
        <v>3.5112200464986469E-2</v>
      </c>
    </row>
    <row r="242" spans="1:19" x14ac:dyDescent="0.25">
      <c r="A242" s="158">
        <v>44133</v>
      </c>
      <c r="B242" s="16">
        <v>13267</v>
      </c>
      <c r="C242" s="16">
        <f>C241+B242</f>
        <v>1143800</v>
      </c>
      <c r="D242" s="4">
        <v>372</v>
      </c>
      <c r="E242" s="7">
        <f>E241+D242</f>
        <v>30441</v>
      </c>
      <c r="F242" s="29">
        <v>946134</v>
      </c>
      <c r="G242" s="4">
        <v>4981</v>
      </c>
      <c r="H242" s="4">
        <v>31568</v>
      </c>
      <c r="I242" s="16">
        <f t="shared" si="67"/>
        <v>2947344</v>
      </c>
      <c r="J242" s="7">
        <v>2160</v>
      </c>
      <c r="K242" s="7">
        <v>1420288</v>
      </c>
      <c r="L242" s="4">
        <f t="shared" si="59"/>
        <v>1422448</v>
      </c>
      <c r="M242" s="4">
        <v>9010</v>
      </c>
      <c r="N242" s="4">
        <v>221851</v>
      </c>
      <c r="O242" s="4">
        <v>788337</v>
      </c>
      <c r="P242" s="4">
        <f t="shared" si="60"/>
        <v>124602</v>
      </c>
      <c r="Q242" s="29">
        <f t="shared" si="38"/>
        <v>14987</v>
      </c>
      <c r="R242" s="72">
        <f t="shared" ref="R242" si="70">G242/(C242-E242-F242)</f>
        <v>2.9786216175811033E-2</v>
      </c>
      <c r="S242" s="62">
        <f t="shared" ref="S242" si="71">E242/C222</f>
        <v>3.4930714610289765E-2</v>
      </c>
    </row>
    <row r="243" spans="1:19" x14ac:dyDescent="0.25">
      <c r="A243" s="158">
        <v>44134</v>
      </c>
      <c r="B243" s="4">
        <v>13379</v>
      </c>
      <c r="C243" s="16">
        <f>C242+B243</f>
        <v>1157179</v>
      </c>
      <c r="D243" s="4">
        <v>350</v>
      </c>
      <c r="E243" s="7">
        <f>E242+D243</f>
        <v>30791</v>
      </c>
      <c r="F243" s="29">
        <v>961101</v>
      </c>
      <c r="G243" s="4">
        <v>4981</v>
      </c>
      <c r="H243" s="4">
        <v>32761</v>
      </c>
      <c r="I243" s="16">
        <f t="shared" si="67"/>
        <v>2980105</v>
      </c>
      <c r="J243" s="7">
        <v>2198</v>
      </c>
      <c r="K243" s="7">
        <v>1435121</v>
      </c>
      <c r="L243" s="4">
        <f t="shared" si="59"/>
        <v>1437319</v>
      </c>
      <c r="M243" s="4">
        <v>9073</v>
      </c>
      <c r="N243" s="4">
        <v>224367</v>
      </c>
      <c r="O243" s="4">
        <v>799735</v>
      </c>
      <c r="P243" s="4">
        <f t="shared" si="60"/>
        <v>124004</v>
      </c>
      <c r="Q243" s="29">
        <f t="shared" si="38"/>
        <v>14967</v>
      </c>
      <c r="R243" s="72">
        <f t="shared" ref="R243:R245" si="72">G243/(C243-E243-F243)</f>
        <v>3.0135461349047415E-2</v>
      </c>
      <c r="S243" s="62">
        <f t="shared" ref="S243:S245" si="73">E243/C223</f>
        <v>3.4836098031185161E-2</v>
      </c>
    </row>
    <row r="244" spans="1:19" x14ac:dyDescent="0.25">
      <c r="A244" s="158">
        <v>44135</v>
      </c>
      <c r="B244" s="4">
        <v>9745</v>
      </c>
      <c r="C244" s="16">
        <f>B244+C243</f>
        <v>1166924</v>
      </c>
      <c r="D244" s="4">
        <v>210</v>
      </c>
      <c r="E244" s="7">
        <f>E243+D244</f>
        <v>31001</v>
      </c>
      <c r="F244" s="29">
        <v>973939</v>
      </c>
      <c r="G244" s="4">
        <v>4969</v>
      </c>
      <c r="H244" s="4">
        <v>26699</v>
      </c>
      <c r="I244" s="16">
        <f t="shared" si="67"/>
        <v>3006804</v>
      </c>
      <c r="J244" s="9">
        <v>2357</v>
      </c>
      <c r="K244" s="227">
        <v>1447945</v>
      </c>
      <c r="L244" s="4">
        <f t="shared" si="59"/>
        <v>1450302</v>
      </c>
      <c r="M244" s="9">
        <v>9103</v>
      </c>
      <c r="N244" s="9">
        <v>225845</v>
      </c>
      <c r="O244" s="9">
        <v>808139</v>
      </c>
      <c r="P244" s="4">
        <f t="shared" si="60"/>
        <v>123837</v>
      </c>
      <c r="Q244" s="29">
        <f t="shared" si="38"/>
        <v>12838</v>
      </c>
      <c r="R244" s="72">
        <f t="shared" si="72"/>
        <v>3.0675869221651521E-2</v>
      </c>
      <c r="S244" s="62">
        <f t="shared" si="73"/>
        <v>3.4668745233201299E-2</v>
      </c>
    </row>
    <row r="245" spans="1:19" x14ac:dyDescent="0.25">
      <c r="A245" s="158">
        <v>44136</v>
      </c>
      <c r="B245" s="4">
        <v>6609</v>
      </c>
      <c r="C245" s="16">
        <f>C244+B245</f>
        <v>1173533</v>
      </c>
      <c r="D245" s="4">
        <v>138</v>
      </c>
      <c r="E245" s="7">
        <f>E244+D245</f>
        <v>31139</v>
      </c>
      <c r="F245" s="29">
        <v>985316</v>
      </c>
      <c r="G245" s="4">
        <v>5119</v>
      </c>
      <c r="H245" s="4">
        <v>15645</v>
      </c>
      <c r="I245" s="16">
        <f t="shared" si="67"/>
        <v>3022449</v>
      </c>
      <c r="J245" s="9">
        <v>2393</v>
      </c>
      <c r="K245" s="227">
        <v>1455146</v>
      </c>
      <c r="L245" s="4">
        <f t="shared" si="59"/>
        <v>1457539</v>
      </c>
      <c r="M245" s="9">
        <v>9123</v>
      </c>
      <c r="N245" s="9">
        <v>226864</v>
      </c>
      <c r="O245" s="9">
        <v>813376</v>
      </c>
      <c r="P245" s="4">
        <f t="shared" si="60"/>
        <v>124170</v>
      </c>
      <c r="Q245" s="29">
        <f t="shared" si="38"/>
        <v>11377</v>
      </c>
      <c r="R245" s="72">
        <f t="shared" si="72"/>
        <v>3.2588904875284888E-2</v>
      </c>
      <c r="S245" s="62">
        <f t="shared" si="73"/>
        <v>3.445608754827216E-2</v>
      </c>
    </row>
    <row r="246" spans="1:19" x14ac:dyDescent="0.25">
      <c r="A246" s="158">
        <v>44137</v>
      </c>
      <c r="B246" s="4">
        <v>9598</v>
      </c>
      <c r="C246" s="16">
        <f>C245+B246</f>
        <v>1183131</v>
      </c>
      <c r="D246" s="4">
        <v>482</v>
      </c>
      <c r="E246" s="7">
        <f>E245+D246</f>
        <v>31621</v>
      </c>
      <c r="F246" s="29">
        <v>998016</v>
      </c>
      <c r="G246" s="4">
        <v>4992</v>
      </c>
      <c r="H246" s="4">
        <v>249864</v>
      </c>
      <c r="I246" s="16">
        <f t="shared" si="67"/>
        <v>3272313</v>
      </c>
      <c r="J246" s="9">
        <v>2514</v>
      </c>
      <c r="K246" s="227">
        <v>1467420</v>
      </c>
      <c r="L246" s="4">
        <f t="shared" si="59"/>
        <v>1469934</v>
      </c>
      <c r="M246" s="9">
        <v>9159</v>
      </c>
      <c r="N246" s="9">
        <v>229301</v>
      </c>
      <c r="O246" s="9">
        <v>822808</v>
      </c>
      <c r="P246" s="4">
        <f t="shared" si="60"/>
        <v>121863</v>
      </c>
      <c r="Q246" s="29">
        <f t="shared" si="38"/>
        <v>12700</v>
      </c>
      <c r="R246" s="9">
        <f>G246-G245</f>
        <v>-127</v>
      </c>
      <c r="S246" s="4"/>
    </row>
    <row r="247" spans="1:19" ht="15.75" thickBot="1" x14ac:dyDescent="0.3">
      <c r="A247" s="158">
        <v>44138</v>
      </c>
      <c r="B247" s="4">
        <v>12145</v>
      </c>
      <c r="C247" s="16">
        <f>C246+B247</f>
        <v>1195276</v>
      </c>
      <c r="D247" s="4">
        <v>430</v>
      </c>
      <c r="E247" s="7">
        <f>E246+D247</f>
        <v>32051</v>
      </c>
      <c r="F247" s="29">
        <v>1009278</v>
      </c>
      <c r="G247" s="4">
        <v>4854</v>
      </c>
      <c r="H247" s="4">
        <v>30999</v>
      </c>
      <c r="I247" s="16">
        <f>I246+H247</f>
        <v>3303312</v>
      </c>
      <c r="J247" s="9">
        <v>2583</v>
      </c>
      <c r="K247" s="227">
        <v>1482833</v>
      </c>
      <c r="L247" s="4">
        <f t="shared" si="59"/>
        <v>1485416</v>
      </c>
      <c r="M247" s="9">
        <v>9211</v>
      </c>
      <c r="N247" s="9">
        <v>232229</v>
      </c>
      <c r="O247" s="9">
        <v>832741</v>
      </c>
      <c r="P247" s="4">
        <f t="shared" si="60"/>
        <v>121095</v>
      </c>
      <c r="Q247" s="29">
        <f t="shared" si="38"/>
        <v>11262</v>
      </c>
      <c r="R247" s="9">
        <f>G247-G246</f>
        <v>-138</v>
      </c>
      <c r="S247" s="4"/>
    </row>
    <row r="248" spans="1:19" ht="15.75" thickBot="1" x14ac:dyDescent="0.3">
      <c r="A248" s="158">
        <v>44139</v>
      </c>
      <c r="B248" s="4">
        <v>10652</v>
      </c>
      <c r="C248" s="16">
        <f>C247+B248</f>
        <v>1205928</v>
      </c>
      <c r="D248" s="4">
        <v>467</v>
      </c>
      <c r="E248" s="7">
        <f>E247+D248</f>
        <v>32518</v>
      </c>
      <c r="F248" s="29">
        <v>1017647</v>
      </c>
      <c r="G248" s="4">
        <v>4816</v>
      </c>
      <c r="H248" s="4">
        <v>36435</v>
      </c>
      <c r="I248" s="16">
        <f>I247+H248</f>
        <v>3339747</v>
      </c>
      <c r="J248" s="9">
        <v>2640</v>
      </c>
      <c r="K248" s="230">
        <v>1503103</v>
      </c>
      <c r="L248" s="4">
        <f t="shared" si="59"/>
        <v>1505743</v>
      </c>
      <c r="M248" s="225">
        <v>9251</v>
      </c>
      <c r="N248" s="226">
        <v>234718</v>
      </c>
      <c r="O248" s="226">
        <v>842950</v>
      </c>
      <c r="P248" s="4">
        <f t="shared" si="60"/>
        <v>119009</v>
      </c>
      <c r="Q248" s="29">
        <f t="shared" si="38"/>
        <v>8369</v>
      </c>
      <c r="R248" s="79">
        <f>G248-G247</f>
        <v>-38</v>
      </c>
      <c r="S248" s="4"/>
    </row>
    <row r="249" spans="1:19" ht="15.75" thickBot="1" x14ac:dyDescent="0.3">
      <c r="A249" s="158">
        <v>44140</v>
      </c>
      <c r="B249" s="4">
        <v>11100</v>
      </c>
      <c r="C249" s="16">
        <f>C248+B249</f>
        <v>1217028</v>
      </c>
      <c r="D249" s="4">
        <v>247</v>
      </c>
      <c r="E249" s="7">
        <f>E248+D249</f>
        <v>32765</v>
      </c>
      <c r="F249" s="206">
        <v>1030137</v>
      </c>
      <c r="G249" s="4">
        <v>4713</v>
      </c>
      <c r="H249" s="4">
        <v>28900</v>
      </c>
      <c r="I249" s="16">
        <f>I248+H249</f>
        <v>3368647</v>
      </c>
      <c r="J249" s="9">
        <v>2667</v>
      </c>
      <c r="K249" s="231">
        <v>1516132</v>
      </c>
      <c r="L249" s="4">
        <f t="shared" si="59"/>
        <v>1518799</v>
      </c>
      <c r="M249" s="228">
        <v>9294</v>
      </c>
      <c r="N249" s="229">
        <v>237018</v>
      </c>
      <c r="O249" s="229">
        <v>851916</v>
      </c>
      <c r="P249" s="4">
        <f t="shared" si="60"/>
        <v>118800</v>
      </c>
      <c r="Q249" s="29">
        <f>F249-F248</f>
        <v>12490</v>
      </c>
      <c r="R249" s="79">
        <f>G249-G248</f>
        <v>-103</v>
      </c>
      <c r="S249" s="4"/>
    </row>
    <row r="250" spans="1:19" x14ac:dyDescent="0.25">
      <c r="A250" s="158">
        <v>44141</v>
      </c>
      <c r="B250" s="4">
        <v>11786</v>
      </c>
      <c r="C250" s="16">
        <f>C249+B250</f>
        <v>1228814</v>
      </c>
      <c r="D250" s="4">
        <v>371</v>
      </c>
      <c r="E250" s="7">
        <f>E249+D250</f>
        <v>33136</v>
      </c>
      <c r="F250" s="29">
        <v>1042237</v>
      </c>
      <c r="G250" s="4">
        <v>4666</v>
      </c>
      <c r="H250" s="4">
        <v>34727</v>
      </c>
      <c r="I250" s="16">
        <f>I249+H250</f>
        <v>3403374</v>
      </c>
      <c r="J250" s="7"/>
      <c r="Q250" s="29">
        <f>F250-F249</f>
        <v>12100</v>
      </c>
      <c r="R250" s="79">
        <f>G250-G249</f>
        <v>-47</v>
      </c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5977"/>
  <sheetViews>
    <sheetView zoomScale="85" zoomScaleNormal="85" workbookViewId="0">
      <pane ySplit="1" topLeftCell="A5945" activePane="bottomLeft" state="frozen"/>
      <selection activeCell="D2374" sqref="A1:D2374"/>
      <selection pane="bottomLeft" activeCell="E5977" sqref="E5954:E5977"/>
    </sheetView>
  </sheetViews>
  <sheetFormatPr baseColWidth="10" defaultRowHeight="15" x14ac:dyDescent="0.25"/>
  <cols>
    <col min="1" max="1" width="23.42578125" style="61" customWidth="1"/>
    <col min="2" max="2" width="13.85546875" style="4" customWidth="1"/>
    <col min="3" max="3" width="10.28515625" style="4" customWidth="1"/>
    <col min="4" max="4" width="11.42578125" style="29" customWidth="1"/>
    <col min="5" max="5" width="8" style="4" customWidth="1"/>
    <col min="6" max="6" width="11.7109375" style="135" customWidth="1"/>
    <col min="7" max="7" width="8.28515625" customWidth="1"/>
    <col min="8" max="8" width="8" customWidth="1"/>
  </cols>
  <sheetData>
    <row r="1" spans="1:6" x14ac:dyDescent="0.25">
      <c r="A1" s="86" t="s">
        <v>31</v>
      </c>
      <c r="B1" s="47" t="s">
        <v>32</v>
      </c>
      <c r="C1" s="47" t="s">
        <v>33</v>
      </c>
      <c r="D1" s="85" t="s">
        <v>34</v>
      </c>
      <c r="E1" s="84" t="s">
        <v>117</v>
      </c>
      <c r="F1" s="133" t="s">
        <v>141</v>
      </c>
    </row>
    <row r="2" spans="1:6" x14ac:dyDescent="0.25">
      <c r="A2" s="61" t="s">
        <v>22</v>
      </c>
      <c r="B2" s="26">
        <v>43893</v>
      </c>
      <c r="C2" s="4">
        <v>0</v>
      </c>
      <c r="D2" s="29">
        <v>0</v>
      </c>
      <c r="F2" s="79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79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79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79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79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79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79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79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79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79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79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79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79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79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79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79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79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79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79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79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79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79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79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79"/>
    </row>
    <row r="26" spans="1:6" x14ac:dyDescent="0.25">
      <c r="A26" s="61" t="s">
        <v>22</v>
      </c>
      <c r="B26" s="26">
        <v>43894</v>
      </c>
      <c r="C26" s="4">
        <v>0</v>
      </c>
      <c r="D26" s="29">
        <v>0</v>
      </c>
      <c r="F26" s="79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79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79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79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79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79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79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79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79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79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79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79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79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79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79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79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79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79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79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79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79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79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79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79">
        <f t="shared" si="0"/>
        <v>0</v>
      </c>
    </row>
    <row r="50" spans="1:6" x14ac:dyDescent="0.25">
      <c r="A50" s="61" t="s">
        <v>22</v>
      </c>
      <c r="B50" s="26">
        <v>43895</v>
      </c>
      <c r="C50" s="4">
        <v>0</v>
      </c>
      <c r="D50" s="29">
        <v>0</v>
      </c>
      <c r="F50" s="79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79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79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79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79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79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79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79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79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79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79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79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79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79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79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79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79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79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79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79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79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79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79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79">
        <f t="shared" si="0"/>
        <v>0</v>
      </c>
    </row>
    <row r="74" spans="1:6" x14ac:dyDescent="0.25">
      <c r="A74" s="61" t="s">
        <v>22</v>
      </c>
      <c r="B74" s="26">
        <v>43896</v>
      </c>
      <c r="C74" s="4">
        <v>1</v>
      </c>
      <c r="D74" s="29">
        <v>1</v>
      </c>
      <c r="F74" s="79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79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79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79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79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79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79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79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79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79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79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79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79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79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79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79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79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79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79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79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79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79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79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79">
        <f t="shared" si="1"/>
        <v>0</v>
      </c>
    </row>
    <row r="98" spans="1:6" x14ac:dyDescent="0.25">
      <c r="A98" s="61" t="s">
        <v>22</v>
      </c>
      <c r="B98" s="26">
        <v>43897</v>
      </c>
      <c r="C98" s="4">
        <v>0</v>
      </c>
      <c r="D98" s="29">
        <v>1</v>
      </c>
      <c r="F98" s="79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79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79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79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79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79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79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79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79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79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79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79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79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79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79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79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79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79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79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79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79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79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79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79">
        <f t="shared" si="2"/>
        <v>0</v>
      </c>
    </row>
    <row r="122" spans="1:6" x14ac:dyDescent="0.25">
      <c r="A122" s="61" t="s">
        <v>22</v>
      </c>
      <c r="B122" s="26">
        <v>43898</v>
      </c>
      <c r="C122" s="4">
        <v>1</v>
      </c>
      <c r="D122" s="29">
        <v>2</v>
      </c>
      <c r="F122" s="79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79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79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79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79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79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79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79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79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79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79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79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79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79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79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79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79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79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79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79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79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79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79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79">
        <f t="shared" si="3"/>
        <v>0</v>
      </c>
    </row>
    <row r="146" spans="1:6" x14ac:dyDescent="0.25">
      <c r="A146" s="61" t="s">
        <v>22</v>
      </c>
      <c r="B146" s="26">
        <v>43899</v>
      </c>
      <c r="C146" s="4">
        <v>0</v>
      </c>
      <c r="D146" s="29">
        <v>2</v>
      </c>
      <c r="F146" s="79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79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79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79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79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79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79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79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79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79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79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79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79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79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79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79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79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79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79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79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79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79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79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79">
        <f t="shared" si="4"/>
        <v>0</v>
      </c>
    </row>
    <row r="170" spans="1:6" x14ac:dyDescent="0.25">
      <c r="A170" s="61" t="s">
        <v>22</v>
      </c>
      <c r="B170" s="26">
        <v>43900</v>
      </c>
      <c r="C170" s="4">
        <v>1</v>
      </c>
      <c r="D170" s="29">
        <v>3</v>
      </c>
      <c r="F170" s="79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79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79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79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79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79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79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79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79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79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79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79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79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79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79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79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79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79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79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79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79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79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79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79">
        <f t="shared" si="5"/>
        <v>0</v>
      </c>
    </row>
    <row r="194" spans="1:6" x14ac:dyDescent="0.25">
      <c r="A194" s="61" t="s">
        <v>22</v>
      </c>
      <c r="B194" s="26">
        <v>43901</v>
      </c>
      <c r="C194" s="4">
        <v>1</v>
      </c>
      <c r="D194" s="29">
        <v>4</v>
      </c>
      <c r="F194" s="79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79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79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79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79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79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79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79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79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79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79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79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79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79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79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79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79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79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79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79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79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79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79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79">
        <f t="shared" si="6"/>
        <v>0</v>
      </c>
    </row>
    <row r="218" spans="1:6" x14ac:dyDescent="0.25">
      <c r="A218" s="61" t="s">
        <v>22</v>
      </c>
      <c r="B218" s="26">
        <v>43902</v>
      </c>
      <c r="C218" s="4">
        <v>4</v>
      </c>
      <c r="D218" s="29">
        <v>8</v>
      </c>
      <c r="F218" s="79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79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79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79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79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79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79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79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79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79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79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79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79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79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79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79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79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79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79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79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79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79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79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79">
        <f t="shared" si="7"/>
        <v>0</v>
      </c>
    </row>
    <row r="242" spans="1:6" x14ac:dyDescent="0.25">
      <c r="A242" s="61" t="s">
        <v>22</v>
      </c>
      <c r="B242" s="26">
        <v>43903</v>
      </c>
      <c r="C242" s="4">
        <v>1</v>
      </c>
      <c r="D242" s="29">
        <v>9</v>
      </c>
      <c r="F242" s="79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79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79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79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79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79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79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79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79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79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79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79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79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79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79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79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79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79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79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79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79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79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79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79">
        <f t="shared" si="8"/>
        <v>0</v>
      </c>
    </row>
    <row r="266" spans="1:6" x14ac:dyDescent="0.25">
      <c r="A266" s="61" t="s">
        <v>22</v>
      </c>
      <c r="B266" s="26">
        <v>43904</v>
      </c>
      <c r="C266" s="4">
        <v>1</v>
      </c>
      <c r="D266" s="29">
        <v>10</v>
      </c>
      <c r="F266" s="79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79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79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79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79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79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79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79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79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79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79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79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79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79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79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79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79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79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79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79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79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79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79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79">
        <f t="shared" si="9"/>
        <v>0</v>
      </c>
    </row>
    <row r="290" spans="1:6" x14ac:dyDescent="0.25">
      <c r="A290" s="61" t="s">
        <v>22</v>
      </c>
      <c r="B290" s="26">
        <v>43905</v>
      </c>
      <c r="C290" s="4">
        <v>1</v>
      </c>
      <c r="D290" s="29">
        <v>11</v>
      </c>
      <c r="F290" s="79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79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79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79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79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79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79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79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79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79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79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79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79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79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79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79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79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79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79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79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79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79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79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79">
        <f t="shared" si="10"/>
        <v>0</v>
      </c>
    </row>
    <row r="314" spans="1:6" x14ac:dyDescent="0.25">
      <c r="A314" s="61" t="s">
        <v>22</v>
      </c>
      <c r="B314" s="26">
        <v>43906</v>
      </c>
      <c r="C314" s="4">
        <v>1</v>
      </c>
      <c r="D314" s="29">
        <v>12</v>
      </c>
      <c r="F314" s="79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79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79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79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79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79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79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79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79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79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79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79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79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79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79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79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79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79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79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79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79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79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79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79">
        <f t="shared" si="11"/>
        <v>0</v>
      </c>
    </row>
    <row r="338" spans="1:6" x14ac:dyDescent="0.25">
      <c r="A338" s="61" t="s">
        <v>22</v>
      </c>
      <c r="B338" s="26">
        <v>43907</v>
      </c>
      <c r="C338" s="4">
        <v>1</v>
      </c>
      <c r="D338" s="29">
        <v>13</v>
      </c>
      <c r="F338" s="79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79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79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79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79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79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79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79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79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79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79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79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79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79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79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79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79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79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79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79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79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79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79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79">
        <f t="shared" si="12"/>
        <v>0</v>
      </c>
    </row>
    <row r="362" spans="1:6" x14ac:dyDescent="0.25">
      <c r="A362" s="61" t="s">
        <v>22</v>
      </c>
      <c r="B362" s="26">
        <v>43908</v>
      </c>
      <c r="C362" s="4">
        <v>6</v>
      </c>
      <c r="D362" s="29">
        <v>19</v>
      </c>
      <c r="E362" s="15"/>
      <c r="F362" s="79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79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79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79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79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79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79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79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79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79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79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79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79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79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79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79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79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79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79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79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79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79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79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79">
        <f t="shared" si="13"/>
        <v>0</v>
      </c>
    </row>
    <row r="386" spans="1:6" x14ac:dyDescent="0.25">
      <c r="A386" s="61" t="s">
        <v>22</v>
      </c>
      <c r="B386" s="26">
        <v>43909</v>
      </c>
      <c r="C386" s="4">
        <v>14</v>
      </c>
      <c r="D386" s="29">
        <v>33</v>
      </c>
      <c r="F386" s="79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79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79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79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79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79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79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79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79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79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79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79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79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79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79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79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79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79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79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79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79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79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79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79">
        <f t="shared" si="14"/>
        <v>0</v>
      </c>
    </row>
    <row r="410" spans="1:6" x14ac:dyDescent="0.25">
      <c r="A410" s="61" t="s">
        <v>22</v>
      </c>
      <c r="B410" s="26">
        <v>43910</v>
      </c>
      <c r="C410" s="4">
        <v>9</v>
      </c>
      <c r="D410" s="29">
        <v>42</v>
      </c>
      <c r="F410" s="79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79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79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79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79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79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79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79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79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79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79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79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79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79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79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79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79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79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79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79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79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79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79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79">
        <f t="shared" si="15"/>
        <v>0</v>
      </c>
    </row>
    <row r="434" spans="1:6" x14ac:dyDescent="0.25">
      <c r="A434" s="61" t="s">
        <v>22</v>
      </c>
      <c r="B434" s="26">
        <v>43911</v>
      </c>
      <c r="C434" s="4">
        <v>15</v>
      </c>
      <c r="D434" s="29">
        <v>57</v>
      </c>
      <c r="E434" s="4">
        <v>1</v>
      </c>
      <c r="F434" s="79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79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79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79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79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79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79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79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79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79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79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79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79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79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79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79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79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79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79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79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79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79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79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79">
        <f t="shared" si="16"/>
        <v>0</v>
      </c>
    </row>
    <row r="458" spans="1:6" x14ac:dyDescent="0.25">
      <c r="A458" s="61" t="s">
        <v>22</v>
      </c>
      <c r="B458" s="26">
        <v>43912</v>
      </c>
      <c r="C458" s="4">
        <v>8</v>
      </c>
      <c r="D458" s="29">
        <v>65</v>
      </c>
      <c r="F458" s="79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79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79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79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79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79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79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79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79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79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79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79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79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79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79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79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79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79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79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79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79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79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79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79">
        <f t="shared" si="17"/>
        <v>0</v>
      </c>
    </row>
    <row r="482" spans="1:6" x14ac:dyDescent="0.25">
      <c r="A482" s="61" t="s">
        <v>22</v>
      </c>
      <c r="B482" s="26">
        <v>43913</v>
      </c>
      <c r="C482" s="4">
        <v>5</v>
      </c>
      <c r="D482" s="29">
        <v>70</v>
      </c>
      <c r="F482" s="79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79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79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79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79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79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79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79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79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79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79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79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79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79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79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79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79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79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79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79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79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79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79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79">
        <f t="shared" si="18"/>
        <v>0</v>
      </c>
    </row>
    <row r="506" spans="1:6" x14ac:dyDescent="0.25">
      <c r="A506" s="61" t="s">
        <v>22</v>
      </c>
      <c r="B506" s="26">
        <v>43914</v>
      </c>
      <c r="C506" s="4">
        <v>28</v>
      </c>
      <c r="D506" s="29">
        <v>98</v>
      </c>
      <c r="E506" s="4">
        <v>1</v>
      </c>
      <c r="F506" s="79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79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79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79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79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79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79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79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79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79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79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79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79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79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79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79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79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79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79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79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79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79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79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79">
        <f t="shared" si="19"/>
        <v>0</v>
      </c>
    </row>
    <row r="530" spans="1:6" x14ac:dyDescent="0.25">
      <c r="A530" s="61" t="s">
        <v>22</v>
      </c>
      <c r="B530" s="26">
        <v>43915</v>
      </c>
      <c r="C530" s="4">
        <v>30</v>
      </c>
      <c r="D530" s="29">
        <v>128</v>
      </c>
      <c r="F530" s="79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79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79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79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79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79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79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79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79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79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79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79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79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79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79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79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79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79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79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79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79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79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79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79">
        <f t="shared" si="19"/>
        <v>0</v>
      </c>
    </row>
    <row r="554" spans="1:6" x14ac:dyDescent="0.25">
      <c r="A554" s="61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79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79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79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79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79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79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79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79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79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79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79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79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79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79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79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79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79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79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79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79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79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79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79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79">
        <f t="shared" si="20"/>
        <v>0</v>
      </c>
    </row>
    <row r="578" spans="1:6" x14ac:dyDescent="0.25">
      <c r="A578" s="61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79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79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79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79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79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79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79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79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79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79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79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79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79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79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79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79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79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79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79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79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79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79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79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79">
        <f t="shared" si="21"/>
        <v>0</v>
      </c>
    </row>
    <row r="602" spans="1:6" x14ac:dyDescent="0.25">
      <c r="A602" s="61" t="s">
        <v>22</v>
      </c>
      <c r="B602" s="26">
        <v>43918</v>
      </c>
      <c r="C602" s="4">
        <v>8</v>
      </c>
      <c r="D602" s="29">
        <v>199</v>
      </c>
      <c r="E602" s="4">
        <v>1</v>
      </c>
      <c r="F602" s="79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79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79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79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79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79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79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79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79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79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79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79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79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79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79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79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79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79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79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79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79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79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79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79">
        <f t="shared" si="22"/>
        <v>0</v>
      </c>
    </row>
    <row r="626" spans="1:6" x14ac:dyDescent="0.25">
      <c r="A626" s="61" t="s">
        <v>22</v>
      </c>
      <c r="B626" s="26">
        <v>43919</v>
      </c>
      <c r="C626" s="4">
        <v>18</v>
      </c>
      <c r="D626" s="29">
        <v>217</v>
      </c>
      <c r="E626" s="15"/>
      <c r="F626" s="79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79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79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79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79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79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79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79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79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79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79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79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79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79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79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79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79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79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79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79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79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79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79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79">
        <f t="shared" si="23"/>
        <v>0</v>
      </c>
    </row>
    <row r="650" spans="1:6" x14ac:dyDescent="0.25">
      <c r="A650" s="61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79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79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79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79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79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79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79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79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79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79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79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79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79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79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79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79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79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79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79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79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79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79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79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79">
        <f t="shared" si="24"/>
        <v>1</v>
      </c>
    </row>
    <row r="674" spans="1:6" x14ac:dyDescent="0.25">
      <c r="A674" s="61" t="s">
        <v>22</v>
      </c>
      <c r="B674" s="26">
        <v>43921</v>
      </c>
      <c r="C674" s="4">
        <v>17</v>
      </c>
      <c r="D674" s="29">
        <v>270</v>
      </c>
      <c r="F674" s="79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79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79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79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79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79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79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79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79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79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79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79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79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79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79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79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79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79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79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79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79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79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79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79">
        <f t="shared" si="25"/>
        <v>1</v>
      </c>
    </row>
    <row r="698" spans="1:6" x14ac:dyDescent="0.25">
      <c r="A698" s="61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79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79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79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79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79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79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79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79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79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79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79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79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79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79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79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79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79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79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79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79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79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79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79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79">
        <f t="shared" si="26"/>
        <v>1</v>
      </c>
    </row>
    <row r="722" spans="1:6" x14ac:dyDescent="0.25">
      <c r="A722" s="61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79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79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79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79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79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79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79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79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79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79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79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79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79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79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79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79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79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79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79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79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79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79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79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79">
        <f t="shared" si="27"/>
        <v>1</v>
      </c>
    </row>
    <row r="746" spans="1:6" x14ac:dyDescent="0.25">
      <c r="A746" s="61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79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79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79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79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79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79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79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79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79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79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79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79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79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79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79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79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79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79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79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79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79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79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79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79">
        <f t="shared" si="28"/>
        <v>1</v>
      </c>
    </row>
    <row r="770" spans="1:6" x14ac:dyDescent="0.25">
      <c r="A770" s="61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79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79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79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79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79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79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79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79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79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79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79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79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79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79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79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79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79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79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79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79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79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79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79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79">
        <f t="shared" si="29"/>
        <v>1</v>
      </c>
    </row>
    <row r="794" spans="1:6" x14ac:dyDescent="0.25">
      <c r="A794" s="61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79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79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79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79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79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79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79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79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79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79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79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79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79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79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79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79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79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79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79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79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79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79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79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79">
        <f t="shared" si="30"/>
        <v>1</v>
      </c>
    </row>
    <row r="818" spans="1:6" x14ac:dyDescent="0.25">
      <c r="A818" s="61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79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79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79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79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79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79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79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79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79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79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79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79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79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79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79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79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79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79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79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79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79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79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79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79">
        <f t="shared" si="31"/>
        <v>1</v>
      </c>
    </row>
    <row r="842" spans="1:6" x14ac:dyDescent="0.25">
      <c r="A842" s="61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79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79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79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79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79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79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79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79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79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79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79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79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79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79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79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79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79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79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79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79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79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79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79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79">
        <f t="shared" si="32"/>
        <v>1</v>
      </c>
    </row>
    <row r="866" spans="1:6" x14ac:dyDescent="0.25">
      <c r="A866" s="61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79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79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79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79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79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79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79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79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79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79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79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79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79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79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79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79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79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79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79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79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79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79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79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79">
        <f t="shared" si="33"/>
        <v>2</v>
      </c>
    </row>
    <row r="890" spans="1:6" x14ac:dyDescent="0.25">
      <c r="A890" s="61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79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79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79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79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79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79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79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79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79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79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79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79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79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79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79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79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79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79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79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79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79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79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79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79">
        <f t="shared" si="34"/>
        <v>2</v>
      </c>
    </row>
    <row r="914" spans="1:6" x14ac:dyDescent="0.25">
      <c r="A914" s="61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79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79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79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79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79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79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79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79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79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79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79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79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79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79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79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79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79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79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79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79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79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79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79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79">
        <f t="shared" si="35"/>
        <v>2</v>
      </c>
    </row>
    <row r="938" spans="1:6" x14ac:dyDescent="0.25">
      <c r="A938" s="61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79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79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79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79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79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79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79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79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79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79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79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79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79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79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79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79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79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79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79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79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79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79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79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79">
        <f t="shared" si="36"/>
        <v>2</v>
      </c>
    </row>
    <row r="962" spans="1:6" x14ac:dyDescent="0.25">
      <c r="A962" s="61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79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79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79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79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79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79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79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79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79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79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79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79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79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79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79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79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79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79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79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79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79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79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79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79">
        <f t="shared" si="37"/>
        <v>2</v>
      </c>
    </row>
    <row r="986" spans="1:6" x14ac:dyDescent="0.25">
      <c r="A986" s="61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79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79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79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79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79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79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79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79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79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79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79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79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79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79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79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79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79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79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79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79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79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79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79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79">
        <f t="shared" si="38"/>
        <v>2</v>
      </c>
    </row>
    <row r="1010" spans="1:6" x14ac:dyDescent="0.25">
      <c r="A1010" s="61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79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79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79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79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79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79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79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79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79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79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79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79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79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79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79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79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79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79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79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79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79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79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79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79">
        <f t="shared" si="39"/>
        <v>2</v>
      </c>
    </row>
    <row r="1034" spans="1:6" x14ac:dyDescent="0.25">
      <c r="A1034" s="61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79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79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79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79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79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79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79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79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79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79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79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79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79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79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79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79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79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79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79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79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79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79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79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79">
        <f t="shared" si="40"/>
        <v>2</v>
      </c>
    </row>
    <row r="1058" spans="1:6" x14ac:dyDescent="0.25">
      <c r="A1058" s="61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79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79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79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79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79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79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79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79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79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79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79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79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79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79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79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79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79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79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79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79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79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79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79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79">
        <f t="shared" si="41"/>
        <v>2</v>
      </c>
    </row>
    <row r="1082" spans="1:6" x14ac:dyDescent="0.25">
      <c r="A1082" s="61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79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79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79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79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79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79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79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79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79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79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79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79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79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79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79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79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79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79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79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79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79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79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79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79">
        <f t="shared" si="42"/>
        <v>2</v>
      </c>
    </row>
    <row r="1106" spans="1:6" x14ac:dyDescent="0.25">
      <c r="A1106" s="61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79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79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79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79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79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79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79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79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79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79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79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79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79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79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79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79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79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79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79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79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79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79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79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79">
        <f t="shared" si="43"/>
        <v>2</v>
      </c>
    </row>
    <row r="1130" spans="1:6" x14ac:dyDescent="0.25">
      <c r="A1130" s="61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79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79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79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79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79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79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79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79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79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79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79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79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79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79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79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79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79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79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79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79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79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79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79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79">
        <f t="shared" si="44"/>
        <v>2</v>
      </c>
    </row>
    <row r="1154" spans="1:6" x14ac:dyDescent="0.25">
      <c r="A1154" s="61" t="s">
        <v>22</v>
      </c>
      <c r="B1154" s="26">
        <v>43941</v>
      </c>
      <c r="C1154" s="4">
        <v>42</v>
      </c>
      <c r="D1154" s="29">
        <v>915</v>
      </c>
      <c r="F1154" s="79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79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79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79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79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79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79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79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79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79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79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79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79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79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79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79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79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79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79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79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79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79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79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79">
        <f t="shared" si="45"/>
        <v>2</v>
      </c>
    </row>
    <row r="1178" spans="1:6" x14ac:dyDescent="0.25">
      <c r="A1178" s="61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79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79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79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79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79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79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79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79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79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79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79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79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79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79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79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79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79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79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79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79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79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79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79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79">
        <f t="shared" si="46"/>
        <v>2</v>
      </c>
    </row>
    <row r="1202" spans="1:6" x14ac:dyDescent="0.25">
      <c r="A1202" s="61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79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79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79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79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79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79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79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79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79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79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79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79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79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79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79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79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79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79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79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79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79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79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79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79">
        <f t="shared" si="47"/>
        <v>2</v>
      </c>
    </row>
    <row r="1226" spans="1:6" x14ac:dyDescent="0.25">
      <c r="A1226" s="61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79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79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79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79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79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79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79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79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79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79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79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79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79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79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79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79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79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79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79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79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79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79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79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79">
        <f t="shared" si="48"/>
        <v>2</v>
      </c>
    </row>
    <row r="1250" spans="1:6" x14ac:dyDescent="0.25">
      <c r="A1250" s="61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79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79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79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79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79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79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79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79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79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79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79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79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79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79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79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79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79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79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79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79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79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79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79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79">
        <f t="shared" si="49"/>
        <v>2</v>
      </c>
    </row>
    <row r="1274" spans="1:6" x14ac:dyDescent="0.25">
      <c r="A1274" s="61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79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79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79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79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79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79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79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79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79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79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79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79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79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79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79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79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79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79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79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79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79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79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79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79">
        <f t="shared" si="50"/>
        <v>2</v>
      </c>
    </row>
    <row r="1298" spans="1:6" x14ac:dyDescent="0.25">
      <c r="A1298" s="61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79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79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79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79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79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79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79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79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79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79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79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79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79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79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79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79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79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79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79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79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79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79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79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79">
        <f>E1321+F1297</f>
        <v>2</v>
      </c>
    </row>
    <row r="1322" spans="1:6" x14ac:dyDescent="0.25">
      <c r="A1322" s="61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79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79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79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79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79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79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79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79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79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79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79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79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79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79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79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79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79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79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79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79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79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79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79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79">
        <f>E1345+F1321</f>
        <v>2</v>
      </c>
    </row>
    <row r="1346" spans="1:7" x14ac:dyDescent="0.25">
      <c r="A1346" s="61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79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79">
        <f t="shared" ref="F1347:F1353" si="53">E1347+F1323</f>
        <v>0</v>
      </c>
      <c r="G1347" s="88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79">
        <f t="shared" si="53"/>
        <v>12</v>
      </c>
      <c r="G1348" s="88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79">
        <f t="shared" si="53"/>
        <v>1</v>
      </c>
      <c r="G1349" s="88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79">
        <f t="shared" si="53"/>
        <v>61</v>
      </c>
      <c r="G1350" s="88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79">
        <f t="shared" si="53"/>
        <v>14</v>
      </c>
      <c r="G1351" s="88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79">
        <f t="shared" si="53"/>
        <v>0</v>
      </c>
      <c r="G1352" s="88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79">
        <f t="shared" si="53"/>
        <v>0</v>
      </c>
      <c r="G1353" s="88"/>
    </row>
    <row r="1354" spans="1:7" s="88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79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79">
        <f t="shared" si="54"/>
        <v>0</v>
      </c>
      <c r="G1355" s="88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79">
        <f t="shared" si="54"/>
        <v>0</v>
      </c>
      <c r="G1356" s="88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79">
        <f t="shared" si="54"/>
        <v>0</v>
      </c>
      <c r="G1357" s="88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79">
        <f t="shared" si="54"/>
        <v>6</v>
      </c>
      <c r="G1358" s="88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79">
        <f t="shared" si="54"/>
        <v>9</v>
      </c>
      <c r="G1359" s="88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79">
        <f t="shared" si="54"/>
        <v>2</v>
      </c>
      <c r="G1360" s="88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79">
        <f t="shared" si="54"/>
        <v>3</v>
      </c>
      <c r="G1361" s="88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79">
        <f t="shared" si="54"/>
        <v>8</v>
      </c>
      <c r="G1362" s="88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79">
        <f t="shared" si="54"/>
        <v>0</v>
      </c>
      <c r="G1363" s="88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79">
        <f t="shared" si="54"/>
        <v>0</v>
      </c>
      <c r="G1364" s="88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79">
        <f t="shared" si="54"/>
        <v>0</v>
      </c>
      <c r="G1365" s="88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79">
        <f>E1366+F1342</f>
        <v>2</v>
      </c>
      <c r="G1366" s="88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79">
        <f>E1367+F1343</f>
        <v>0</v>
      </c>
      <c r="G1367" s="88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79">
        <f t="shared" si="54"/>
        <v>0</v>
      </c>
      <c r="G1368" s="88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79">
        <f>E1369+F1345</f>
        <v>2</v>
      </c>
      <c r="G1369" s="88"/>
    </row>
    <row r="1370" spans="1:7" x14ac:dyDescent="0.25">
      <c r="A1370" s="61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79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79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79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79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79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79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79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79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79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79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79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79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79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79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79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79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79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79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79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79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79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79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79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79">
        <f>E1393+F1369</f>
        <v>2</v>
      </c>
    </row>
    <row r="1394" spans="1:6" x14ac:dyDescent="0.25">
      <c r="A1394" s="61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79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79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79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79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79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79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79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79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79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79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79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79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79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79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79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79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79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79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79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79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79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79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79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79">
        <f>E1417+F1393</f>
        <v>2</v>
      </c>
    </row>
    <row r="1418" spans="1:6" x14ac:dyDescent="0.25">
      <c r="A1418" s="61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79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79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79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79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79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79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79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79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79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79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79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79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79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79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79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79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79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79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79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79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79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79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79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79">
        <f>E1441+F1417</f>
        <v>2</v>
      </c>
    </row>
    <row r="1442" spans="1:6" x14ac:dyDescent="0.25">
      <c r="A1442" s="61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79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79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79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79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79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79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79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79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79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79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79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79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79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79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79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79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79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79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79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79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79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79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79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79">
        <f>E1465+F1441</f>
        <v>2</v>
      </c>
    </row>
    <row r="1466" spans="1:6" x14ac:dyDescent="0.25">
      <c r="A1466" s="61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79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79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79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79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79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79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79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79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79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79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79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79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79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79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79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79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79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79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79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79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79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79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79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79">
        <f>E1489+F1465</f>
        <v>2</v>
      </c>
    </row>
    <row r="1490" spans="1:6" x14ac:dyDescent="0.25">
      <c r="A1490" s="61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79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79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79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79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79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79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79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79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79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79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79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79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79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79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79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79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79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79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79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79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79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79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79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79">
        <f>E1513+F1489</f>
        <v>2</v>
      </c>
    </row>
    <row r="1514" spans="1:6" x14ac:dyDescent="0.25">
      <c r="A1514" s="61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79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79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79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79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79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79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79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79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79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79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79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79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79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79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79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79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79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79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79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79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79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79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79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79">
        <f>E1537+F1513</f>
        <v>2</v>
      </c>
    </row>
    <row r="1538" spans="1:6" x14ac:dyDescent="0.25">
      <c r="A1538" s="61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79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79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79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79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79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79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79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79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79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79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79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79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79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79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79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79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79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79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79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79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79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79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79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79">
        <f>E1561+F1537</f>
        <v>3</v>
      </c>
    </row>
    <row r="1562" spans="1:6" x14ac:dyDescent="0.25">
      <c r="A1562" s="61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79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79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79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79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79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79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79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79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79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79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79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79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79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79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79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79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79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79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79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79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79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79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79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79">
        <f>E1585+F1561</f>
        <v>3</v>
      </c>
    </row>
    <row r="1586" spans="1:6" x14ac:dyDescent="0.25">
      <c r="A1586" s="61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79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79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79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79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79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79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79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79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79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79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79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79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79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79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79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79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79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79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79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79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79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79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79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79">
        <f>E1609+F1585</f>
        <v>3</v>
      </c>
    </row>
    <row r="1610" spans="1:6" x14ac:dyDescent="0.25">
      <c r="A1610" s="61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79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79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79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79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79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79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79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79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79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79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79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79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79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79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79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79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79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79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79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79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79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79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79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79">
        <f>E1633+F1609</f>
        <v>3</v>
      </c>
    </row>
    <row r="1634" spans="1:6" x14ac:dyDescent="0.25">
      <c r="A1634" s="61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79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79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79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79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79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79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79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79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79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79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79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79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79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79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79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79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79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79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79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79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79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79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79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79">
        <f>E1657+F1633</f>
        <v>3</v>
      </c>
    </row>
    <row r="1658" spans="1:6" x14ac:dyDescent="0.25">
      <c r="A1658" s="61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79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79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79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79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79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79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79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79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79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79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79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79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79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79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79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79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79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79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79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79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79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79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79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79">
        <f>E1681+F1657</f>
        <v>3</v>
      </c>
    </row>
    <row r="1682" spans="1:6" x14ac:dyDescent="0.25">
      <c r="A1682" s="61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79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79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79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79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79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79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79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79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79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79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79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79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79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79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79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79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79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79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79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79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79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79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79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79">
        <f>E1705+F1681</f>
        <v>3</v>
      </c>
    </row>
    <row r="1706" spans="1:6" x14ac:dyDescent="0.25">
      <c r="A1706" s="61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79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79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79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79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79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79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79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79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79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79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79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79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79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79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79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79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79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79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79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79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79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79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79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79">
        <f>E1729+F1705</f>
        <v>3</v>
      </c>
    </row>
    <row r="1730" spans="1:6" x14ac:dyDescent="0.25">
      <c r="A1730" s="61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79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79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79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79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79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79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79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79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79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79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79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79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79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79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79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79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79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79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79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79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79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79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79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79">
        <f>E1753+F1729</f>
        <v>3</v>
      </c>
    </row>
    <row r="1754" spans="1:6" x14ac:dyDescent="0.25">
      <c r="A1754" s="61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79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79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79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79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79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79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79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79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79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79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79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79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79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79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79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79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79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79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79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79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79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79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79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79">
        <f>E1777+F1753</f>
        <v>3</v>
      </c>
    </row>
    <row r="1778" spans="1:6" x14ac:dyDescent="0.25">
      <c r="A1778" s="61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79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79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79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79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79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79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79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79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79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79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79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79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79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79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79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79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79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79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79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79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79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79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79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79">
        <f>E1801+F1777</f>
        <v>3</v>
      </c>
    </row>
    <row r="1802" spans="1:6" x14ac:dyDescent="0.25">
      <c r="A1802" s="61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79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79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79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79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79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79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79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79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79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79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79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79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79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79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79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79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79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79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79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79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79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79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79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79">
        <f>E1825+F1801</f>
        <v>3</v>
      </c>
    </row>
    <row r="1826" spans="1:6" x14ac:dyDescent="0.25">
      <c r="A1826" s="61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79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79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79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79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79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79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79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79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79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79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79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79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79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79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79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79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79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79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79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79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79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79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79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79">
        <f>E1849+F1825</f>
        <v>3</v>
      </c>
    </row>
    <row r="1850" spans="1:6" x14ac:dyDescent="0.25">
      <c r="A1850" s="61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79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79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79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79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79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79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79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79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79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79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79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79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79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79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79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79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79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79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79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79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79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79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79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79">
        <f>E1873+F1849</f>
        <v>3</v>
      </c>
    </row>
    <row r="1874" spans="1:6" x14ac:dyDescent="0.25">
      <c r="A1874" s="61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79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79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79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79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79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79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79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79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79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79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79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79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79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79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79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79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79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79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79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79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79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79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79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79">
        <f>E1897+F1873</f>
        <v>3</v>
      </c>
    </row>
    <row r="1898" spans="1:6" x14ac:dyDescent="0.25">
      <c r="A1898" s="61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79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79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79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79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79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79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79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79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79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79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79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79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79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79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79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79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79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79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79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79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79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79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79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79">
        <f>E1921+F1897</f>
        <v>3</v>
      </c>
    </row>
    <row r="1922" spans="1:6" x14ac:dyDescent="0.25">
      <c r="A1922" s="61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79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79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79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79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79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79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79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79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79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79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79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79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79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79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79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79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79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79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79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79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79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79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79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79">
        <f>E1945+F1921</f>
        <v>3</v>
      </c>
    </row>
    <row r="1946" spans="1:6" x14ac:dyDescent="0.25">
      <c r="A1946" s="61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79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79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79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79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79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79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79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79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79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79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79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79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79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79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79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79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79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79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79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79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79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79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79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79">
        <f>E1969+F1945</f>
        <v>3</v>
      </c>
    </row>
    <row r="1970" spans="1:6" x14ac:dyDescent="0.25">
      <c r="A1970" s="61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79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79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79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79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79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79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79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79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79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79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79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79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79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79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79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79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79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79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79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79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79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79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79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79">
        <f>E1993+F1969</f>
        <v>3</v>
      </c>
    </row>
    <row r="1994" spans="1:6" x14ac:dyDescent="0.25">
      <c r="A1994" s="61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79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79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79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79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79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79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79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79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79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79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79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79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79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79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79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79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79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79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79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79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79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79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79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79">
        <f>E2017+F1993</f>
        <v>3</v>
      </c>
    </row>
    <row r="2018" spans="1:6" x14ac:dyDescent="0.25">
      <c r="A2018" s="61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79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79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79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79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79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79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79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79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79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79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79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79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79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79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79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79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79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79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79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79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79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79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79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79">
        <f>E2041+F2017</f>
        <v>3</v>
      </c>
    </row>
    <row r="2042" spans="1:6" x14ac:dyDescent="0.25">
      <c r="A2042" s="61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79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79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79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79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79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79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79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79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79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79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79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79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79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79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79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79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79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79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79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79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79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79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79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79">
        <f>E2065+F2041</f>
        <v>3</v>
      </c>
    </row>
    <row r="2066" spans="1:6" x14ac:dyDescent="0.25">
      <c r="A2066" s="61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79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79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79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79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79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79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79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79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79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79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79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79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79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79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79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79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79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79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79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79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79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79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79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79">
        <f>E2089+F2065</f>
        <v>3</v>
      </c>
    </row>
    <row r="2090" spans="1:6" x14ac:dyDescent="0.25">
      <c r="A2090" s="61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79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79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79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79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79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79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79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79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79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79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79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79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79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79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79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79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79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79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79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79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79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79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79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79">
        <f>E2113+F2089</f>
        <v>3</v>
      </c>
    </row>
    <row r="2114" spans="1:6" x14ac:dyDescent="0.25">
      <c r="A2114" s="61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79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79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79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79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79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79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79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79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79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79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79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79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79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79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79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79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79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79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79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79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79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79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79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79">
        <f>E2137+F2113</f>
        <v>3</v>
      </c>
    </row>
    <row r="2138" spans="1:6" x14ac:dyDescent="0.25">
      <c r="A2138" s="61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79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79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79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79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79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79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79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79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79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79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79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79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79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79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79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79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79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79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79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79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79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79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79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79">
        <f>E2161+F2137</f>
        <v>3</v>
      </c>
    </row>
    <row r="2162" spans="1:6" x14ac:dyDescent="0.25">
      <c r="A2162" s="61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79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79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79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79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79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79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79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79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79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79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79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79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79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79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79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79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79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79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79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79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79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79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79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79">
        <f>E2185+F2161</f>
        <v>3</v>
      </c>
    </row>
    <row r="2186" spans="1:6" x14ac:dyDescent="0.25">
      <c r="A2186" s="61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79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79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79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79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79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79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79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79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79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79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79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79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79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79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79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79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79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79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79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79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79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79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79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79">
        <f>E2209+F2185</f>
        <v>3</v>
      </c>
    </row>
    <row r="2210" spans="1:6" x14ac:dyDescent="0.25">
      <c r="A2210" s="61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79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79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79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79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79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79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79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79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79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79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79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79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79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79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79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79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79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79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79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79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79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79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79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79">
        <f>E2233+F2209</f>
        <v>3</v>
      </c>
    </row>
    <row r="2234" spans="1:6" x14ac:dyDescent="0.25">
      <c r="A2234" s="61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79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79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79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79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79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79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79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79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79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79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79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79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79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79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79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79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79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79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79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79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79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79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79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79">
        <f>E2257+F2233</f>
        <v>3</v>
      </c>
    </row>
    <row r="2258" spans="1:6" x14ac:dyDescent="0.25">
      <c r="A2258" s="61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79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79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79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79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79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79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79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79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79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79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79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79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79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79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79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79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79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79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79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79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79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79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79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79">
        <f>E2281+F2257</f>
        <v>3</v>
      </c>
    </row>
    <row r="2282" spans="1:6" x14ac:dyDescent="0.25">
      <c r="A2282" s="61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79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79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79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79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79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79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79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79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79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79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79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79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79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79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79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79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79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79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79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79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79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79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79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79">
        <f>E2305+F2281</f>
        <v>3</v>
      </c>
    </row>
    <row r="2306" spans="1:6" x14ac:dyDescent="0.25">
      <c r="A2306" s="61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79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79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79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79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79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79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79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79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79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79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79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79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79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79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79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79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79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79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79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79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79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79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79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79">
        <f>E2329+F2305</f>
        <v>3</v>
      </c>
    </row>
    <row r="2330" spans="1:6" x14ac:dyDescent="0.25">
      <c r="A2330" s="61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79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79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79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79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79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79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79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79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79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79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79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79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79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79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79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79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79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79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79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79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79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79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79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79">
        <f>E2353+F2329</f>
        <v>4</v>
      </c>
    </row>
    <row r="2354" spans="1:6" x14ac:dyDescent="0.25">
      <c r="A2354" s="61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79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79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79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79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79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79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79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79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79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79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79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79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79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79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79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79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79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79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79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79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79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79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79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79">
        <f>E2377+F2353</f>
        <v>4</v>
      </c>
    </row>
    <row r="2378" spans="1:6" x14ac:dyDescent="0.25">
      <c r="A2378" s="61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79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79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79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79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79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79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79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79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79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79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79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79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79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79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79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79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79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79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79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79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79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79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79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79">
        <f>E2401+F2377</f>
        <v>4</v>
      </c>
    </row>
    <row r="2402" spans="1:6" x14ac:dyDescent="0.25">
      <c r="A2402" s="61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79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79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79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79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79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79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79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79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79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79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79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79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79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79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79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79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79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79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79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79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79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79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79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79">
        <f>E2425+F2401</f>
        <v>4</v>
      </c>
    </row>
    <row r="2426" spans="1:6" x14ac:dyDescent="0.25">
      <c r="A2426" s="61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79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79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79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79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79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79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79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79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79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79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79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79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79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79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79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79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79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79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79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79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79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79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79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79">
        <f>E2449+F2425</f>
        <v>4</v>
      </c>
    </row>
    <row r="2450" spans="1:6" x14ac:dyDescent="0.25">
      <c r="A2450" s="61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79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79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79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79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79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79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79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79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79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79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79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79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79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79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79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79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79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79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79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79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79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79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79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79">
        <f>E2473+F2449</f>
        <v>4</v>
      </c>
    </row>
    <row r="2474" spans="1:6" x14ac:dyDescent="0.25">
      <c r="A2474" s="61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79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79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79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79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79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79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79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79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79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79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79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79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79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79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79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79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79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79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79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79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79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79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79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79">
        <f>E2497+F2473</f>
        <v>4</v>
      </c>
    </row>
    <row r="2498" spans="1:6" x14ac:dyDescent="0.25">
      <c r="A2498" s="61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79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79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79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79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79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79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79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79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79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79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79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79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79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79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79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79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79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79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79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79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79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79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79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79">
        <f>E2521+F2497</f>
        <v>4</v>
      </c>
    </row>
    <row r="2522" spans="1:6" x14ac:dyDescent="0.25">
      <c r="A2522" s="61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79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79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79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79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79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79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79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79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79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79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79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79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79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79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79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79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79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79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79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79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79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79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79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79">
        <f>E2545+F2521</f>
        <v>4</v>
      </c>
    </row>
    <row r="2546" spans="1:6" x14ac:dyDescent="0.25">
      <c r="A2546" s="61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79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79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79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79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79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79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79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79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79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79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79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79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79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79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79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79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79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79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79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79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79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79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79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79">
        <f>E2569+F2545</f>
        <v>4</v>
      </c>
    </row>
    <row r="2570" spans="1:6" x14ac:dyDescent="0.25">
      <c r="A2570" s="61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79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79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79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79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79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79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79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79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79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79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79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79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79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79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79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79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79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79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79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79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79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79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79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79">
        <f>E2593+F2569</f>
        <v>4</v>
      </c>
    </row>
    <row r="2594" spans="1:6" x14ac:dyDescent="0.25">
      <c r="A2594" s="61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79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79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79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79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79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79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79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79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79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79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79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79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79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79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79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79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79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79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79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79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79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79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79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79">
        <f>E2617+F2593</f>
        <v>4</v>
      </c>
    </row>
    <row r="2618" spans="1:6" x14ac:dyDescent="0.25">
      <c r="A2618" s="61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79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79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79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79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79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79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79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79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79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79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79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79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79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79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79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79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79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79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79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79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79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79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79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79">
        <f>E2641+F2617</f>
        <v>4</v>
      </c>
    </row>
    <row r="2642" spans="1:6" x14ac:dyDescent="0.25">
      <c r="A2642" s="61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79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79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79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79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79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79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79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79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79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79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79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79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79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79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79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79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79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79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79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79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79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79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79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79">
        <f>E2665+F2641</f>
        <v>4</v>
      </c>
    </row>
    <row r="2666" spans="1:6" x14ac:dyDescent="0.25">
      <c r="A2666" s="61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79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79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79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79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79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79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79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79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79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79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79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79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79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79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79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79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79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79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79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79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79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79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79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79">
        <f>E2689+F2665</f>
        <v>4</v>
      </c>
    </row>
    <row r="2690" spans="1:6" x14ac:dyDescent="0.25">
      <c r="A2690" s="61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79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79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79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79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79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79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79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79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79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79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79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79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79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79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79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79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79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79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79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79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79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79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79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79">
        <f>E2713+F2689</f>
        <v>4</v>
      </c>
    </row>
    <row r="2714" spans="1:6" x14ac:dyDescent="0.25">
      <c r="A2714" s="61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79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79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79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79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79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79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79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79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79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79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79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79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79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79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79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79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79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79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79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79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79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79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79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79">
        <f>E2737+F2713</f>
        <v>4</v>
      </c>
    </row>
    <row r="2738" spans="1:6" x14ac:dyDescent="0.25">
      <c r="A2738" s="61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79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79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79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79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79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79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79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79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79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79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79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79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79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79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79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79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79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79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79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79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79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79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79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79">
        <f>E2761+F2737</f>
        <v>4</v>
      </c>
    </row>
    <row r="2762" spans="1:6" x14ac:dyDescent="0.25">
      <c r="A2762" s="61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79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79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79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79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79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79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79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79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79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79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79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79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79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79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79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79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79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79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79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79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79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79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79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79">
        <f>E2785+F2761</f>
        <v>4</v>
      </c>
    </row>
    <row r="2786" spans="1:6" x14ac:dyDescent="0.25">
      <c r="A2786" s="61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79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79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79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79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79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79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79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79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79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79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79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79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79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79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79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79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79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79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79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79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79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79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79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79">
        <f>E2809+F2785</f>
        <v>4</v>
      </c>
    </row>
    <row r="2810" spans="1:6" x14ac:dyDescent="0.25">
      <c r="A2810" s="61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79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79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79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79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79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79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79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79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79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79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79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79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79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79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79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79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79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79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79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79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79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79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79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79">
        <f>E2833+F2809</f>
        <v>4</v>
      </c>
    </row>
    <row r="2834" spans="1:6" x14ac:dyDescent="0.25">
      <c r="A2834" s="61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79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79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79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79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79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79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79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79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79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79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79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79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79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79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79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79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79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79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79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79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79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79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79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79">
        <f>E2857+F2833</f>
        <v>4</v>
      </c>
    </row>
    <row r="2858" spans="1:6" x14ac:dyDescent="0.25">
      <c r="A2858" s="61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79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79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79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79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79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79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79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79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79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79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79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79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79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79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79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79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79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79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79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79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79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79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79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79">
        <f>E2881+F2857</f>
        <v>4</v>
      </c>
    </row>
    <row r="2882" spans="1:6" x14ac:dyDescent="0.25">
      <c r="A2882" s="61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79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79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79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79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79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79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79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79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79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79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79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79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79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79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79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79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79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79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79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79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79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79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79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79">
        <f>E2905+F2881</f>
        <v>4</v>
      </c>
    </row>
    <row r="2906" spans="1:6" x14ac:dyDescent="0.25">
      <c r="A2906" s="61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79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79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79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79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79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79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79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79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79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79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79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79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79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79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79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79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79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79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79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79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79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79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79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79">
        <f>E2929+F2905</f>
        <v>4</v>
      </c>
    </row>
    <row r="2930" spans="1:6" x14ac:dyDescent="0.25">
      <c r="A2930" s="61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79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79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79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79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79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79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79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79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79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79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79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79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79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79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79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79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79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79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79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79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79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79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79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79">
        <f>E2953+F2929</f>
        <v>4</v>
      </c>
    </row>
    <row r="2954" spans="1:6" x14ac:dyDescent="0.25">
      <c r="A2954" s="61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79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79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79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79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79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79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79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79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79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79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79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79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79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79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79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79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79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79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79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79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79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79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79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79">
        <f>E2977+F2953</f>
        <v>4</v>
      </c>
    </row>
    <row r="2978" spans="1:6" x14ac:dyDescent="0.25">
      <c r="A2978" s="61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79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79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79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79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79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79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79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79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79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79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79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79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79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79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79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79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79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79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79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79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79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79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79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79">
        <f>E3001+F2977</f>
        <v>4</v>
      </c>
    </row>
    <row r="3002" spans="1:6" x14ac:dyDescent="0.25">
      <c r="A3002" s="61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79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79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79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79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79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79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79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79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79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79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79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79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79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79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79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79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79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79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79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79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79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79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79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79">
        <f>E3025+F3001</f>
        <v>4</v>
      </c>
    </row>
    <row r="3026" spans="1:6" x14ac:dyDescent="0.25">
      <c r="A3026" s="61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79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79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79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79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79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79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79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79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79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79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79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79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79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79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79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79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79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79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79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79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79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79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79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79">
        <f>E3049+F3025</f>
        <v>4</v>
      </c>
    </row>
    <row r="3050" spans="1:6" x14ac:dyDescent="0.25">
      <c r="A3050" s="61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79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79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79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79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79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79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79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79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79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79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79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79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79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79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79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79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79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79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79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79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79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79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79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79">
        <f>E3073+F3049</f>
        <v>4</v>
      </c>
    </row>
    <row r="3074" spans="1:6" x14ac:dyDescent="0.25">
      <c r="A3074" s="61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79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79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79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79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79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79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79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79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79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79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79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79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79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79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79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79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79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79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79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79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79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79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79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79">
        <f>E3097+F3073</f>
        <v>4</v>
      </c>
    </row>
    <row r="3098" spans="1:6" x14ac:dyDescent="0.25">
      <c r="A3098" s="61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79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79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79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79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79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79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79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79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79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79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79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79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79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79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79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79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79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79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79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79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79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79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79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79">
        <f>E3121+F3097</f>
        <v>4</v>
      </c>
    </row>
    <row r="3122" spans="1:6" x14ac:dyDescent="0.25">
      <c r="A3122" s="61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79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79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79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79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79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79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79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79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79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79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79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79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79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79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79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79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79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79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79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79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79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79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79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79">
        <f>E3145+F3121</f>
        <v>4</v>
      </c>
    </row>
    <row r="3146" spans="1:6" x14ac:dyDescent="0.25">
      <c r="A3146" s="61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79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79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79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79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79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79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79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79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79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79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79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79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79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79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79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79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79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79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79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79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79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79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79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79">
        <f>E3169+F3145</f>
        <v>4</v>
      </c>
    </row>
    <row r="3170" spans="1:6" x14ac:dyDescent="0.25">
      <c r="A3170" s="61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79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79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79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79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79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79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79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79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79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79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79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79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79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79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79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79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79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79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79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79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79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79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79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79">
        <f>E3193+F3169</f>
        <v>4</v>
      </c>
    </row>
    <row r="3194" spans="1:6" x14ac:dyDescent="0.25">
      <c r="A3194" s="61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79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79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79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79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79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79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79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79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79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79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79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79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79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79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79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79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79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79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79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79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79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79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79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79">
        <f>E3217+F3193</f>
        <v>4</v>
      </c>
    </row>
    <row r="3218" spans="1:6" x14ac:dyDescent="0.25">
      <c r="A3218" s="61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79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79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79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79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79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79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79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79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79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79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79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79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79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79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79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79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79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79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79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79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79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79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79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79">
        <f>E3241+F3217</f>
        <v>4</v>
      </c>
    </row>
    <row r="3242" spans="1:6" x14ac:dyDescent="0.25">
      <c r="A3242" s="61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79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79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79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79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79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79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79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79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79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79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79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79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79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79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79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79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79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79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79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79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79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79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79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79">
        <f>E3265+F3241</f>
        <v>4</v>
      </c>
    </row>
    <row r="3266" spans="1:6" x14ac:dyDescent="0.25">
      <c r="A3266" s="61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79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79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79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79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79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79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79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79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79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79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79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79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79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79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79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79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79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79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79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79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79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79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79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79">
        <f>E3289+F3265</f>
        <v>4</v>
      </c>
    </row>
    <row r="3290" spans="1:6" x14ac:dyDescent="0.25">
      <c r="A3290" s="61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79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79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79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79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79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79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79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79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79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79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79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79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79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79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79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79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79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79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79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79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79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79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79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79">
        <f>E3313+F3289</f>
        <v>4</v>
      </c>
    </row>
    <row r="3314" spans="1:6" x14ac:dyDescent="0.25">
      <c r="A3314" s="61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79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79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79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79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79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79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79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79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79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79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79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79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79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79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79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79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79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79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79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79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79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79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79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79">
        <f>E3337+F3313</f>
        <v>4</v>
      </c>
    </row>
    <row r="3338" spans="1:6" x14ac:dyDescent="0.25">
      <c r="A3338" s="61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79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79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79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79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79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79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79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79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79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79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79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79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79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79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79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79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79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79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79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79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79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79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79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79">
        <f>E3361+F3337</f>
        <v>4</v>
      </c>
    </row>
    <row r="3362" spans="1:6" x14ac:dyDescent="0.25">
      <c r="A3362" s="61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79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79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79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79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79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79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79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79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79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79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79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79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79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79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79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79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79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79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79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79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79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79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79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79">
        <f>E3385+F3361</f>
        <v>4</v>
      </c>
    </row>
    <row r="3386" spans="1:6" x14ac:dyDescent="0.25">
      <c r="A3386" s="61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79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79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79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79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79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79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79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79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79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79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79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79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79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79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79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79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79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79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79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79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79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79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79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79">
        <f>E3409+F3385</f>
        <v>4</v>
      </c>
    </row>
    <row r="3410" spans="1:6" x14ac:dyDescent="0.25">
      <c r="A3410" s="61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79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79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79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79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79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79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79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79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79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79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79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79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79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79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79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79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79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79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79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79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79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79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79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79">
        <f>E3433+F3409</f>
        <v>4</v>
      </c>
    </row>
    <row r="3434" spans="1:6" x14ac:dyDescent="0.25">
      <c r="A3434" s="61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79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79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79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79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79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79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79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79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79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79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79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79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79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79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79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79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79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79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79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79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79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79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79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79">
        <f>E3457+F3433</f>
        <v>4</v>
      </c>
    </row>
    <row r="3458" spans="1:6" x14ac:dyDescent="0.25">
      <c r="A3458" s="61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79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79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79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79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79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79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79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79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79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79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79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79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79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79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79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79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79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79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79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79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79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79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79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79">
        <f>E3481+F3457</f>
        <v>4</v>
      </c>
    </row>
    <row r="3482" spans="1:6" x14ac:dyDescent="0.25">
      <c r="A3482" s="61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79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79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79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79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79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79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79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79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79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79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79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79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79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79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79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79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79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79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79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79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79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79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79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79">
        <f>E3505+F3481</f>
        <v>4</v>
      </c>
    </row>
    <row r="3506" spans="1:6" x14ac:dyDescent="0.25">
      <c r="A3506" s="61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79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79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79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79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79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79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79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79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79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79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79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79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79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79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79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79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79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79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79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79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79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79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79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79">
        <f>E3529+F3505</f>
        <v>4</v>
      </c>
    </row>
    <row r="3530" spans="1:6" x14ac:dyDescent="0.25">
      <c r="A3530" s="61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79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79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79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79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79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79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79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79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79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79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79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79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79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79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79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79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79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79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79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79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79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79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79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79">
        <f>E3553+F3529</f>
        <v>4</v>
      </c>
    </row>
    <row r="3554" spans="1:6" x14ac:dyDescent="0.25">
      <c r="A3554" s="61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79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79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79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79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79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79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79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79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79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79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79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79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79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79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79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79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79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79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79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79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79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79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79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79">
        <f>E3577+F3553</f>
        <v>4</v>
      </c>
    </row>
    <row r="3578" spans="1:6" x14ac:dyDescent="0.25">
      <c r="A3578" s="61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79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79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79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79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79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79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79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79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79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79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79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79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79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79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79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79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79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79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79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79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79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79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79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79">
        <f t="shared" si="241"/>
        <v>4</v>
      </c>
    </row>
    <row r="3602" spans="1:6" x14ac:dyDescent="0.25">
      <c r="A3602" s="61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79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79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79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79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79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79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79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79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79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79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79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79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79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79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79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79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79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79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79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79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79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79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79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79">
        <f t="shared" si="244"/>
        <v>4</v>
      </c>
    </row>
    <row r="3626" spans="1:6" x14ac:dyDescent="0.25">
      <c r="A3626" s="61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79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79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79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79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79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79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79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79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79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79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79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79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79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79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79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79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79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79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79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79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79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79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79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79">
        <f t="shared" si="247"/>
        <v>4</v>
      </c>
    </row>
    <row r="3650" spans="1:6" x14ac:dyDescent="0.25">
      <c r="A3650" s="61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79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79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79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79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79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79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79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79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79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79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79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79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79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79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79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79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79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79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79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79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79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79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79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79">
        <f t="shared" si="250"/>
        <v>4</v>
      </c>
    </row>
    <row r="3674" spans="1:6" x14ac:dyDescent="0.25">
      <c r="A3674" s="61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79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79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79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79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79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79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79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79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79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79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79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79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79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79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79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79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79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79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79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79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79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79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79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79">
        <f t="shared" si="253"/>
        <v>4</v>
      </c>
    </row>
    <row r="3698" spans="1:6" x14ac:dyDescent="0.25">
      <c r="A3698" s="61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79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79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79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79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79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79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79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79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79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79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79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79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79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79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79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79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79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79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79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79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79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79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79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79">
        <f t="shared" si="256"/>
        <v>4</v>
      </c>
    </row>
    <row r="3722" spans="1:6" x14ac:dyDescent="0.25">
      <c r="A3722" s="61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79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79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79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79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79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79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79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79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79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79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79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79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79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79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79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79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79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79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79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79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79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79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79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79">
        <f t="shared" si="259"/>
        <v>4</v>
      </c>
    </row>
    <row r="3746" spans="1:6" x14ac:dyDescent="0.25">
      <c r="A3746" s="61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79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79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79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79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79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79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79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79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79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79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79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79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79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79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79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79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79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79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79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79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79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79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79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79">
        <f t="shared" si="262"/>
        <v>5</v>
      </c>
    </row>
    <row r="3770" spans="1:6" x14ac:dyDescent="0.25">
      <c r="A3770" s="61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79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79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79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79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79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79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79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79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79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79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79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79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79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79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79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79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79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79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79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79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79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79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79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79">
        <f t="shared" si="265"/>
        <v>5</v>
      </c>
    </row>
    <row r="3794" spans="1:6" x14ac:dyDescent="0.25">
      <c r="A3794" s="61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79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79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79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79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79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79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79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79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79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79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79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79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79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79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79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79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79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79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79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79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79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79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79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79">
        <f t="shared" si="268"/>
        <v>5</v>
      </c>
    </row>
    <row r="3818" spans="1:6" x14ac:dyDescent="0.25">
      <c r="A3818" s="61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79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79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79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79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79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79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79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79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79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79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79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79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79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79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79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79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79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79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79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79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79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79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79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79">
        <f t="shared" si="271"/>
        <v>5</v>
      </c>
    </row>
    <row r="3842" spans="1:6" x14ac:dyDescent="0.25">
      <c r="A3842" s="61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79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79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79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79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79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79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79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79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79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79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79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79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79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79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79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79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79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79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79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79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79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79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79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79">
        <f t="shared" si="273"/>
        <v>5</v>
      </c>
    </row>
    <row r="3866" spans="1:6" x14ac:dyDescent="0.25">
      <c r="A3866" s="61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79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79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79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79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79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79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79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79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79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79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79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79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79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79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79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79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79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79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79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79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79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79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79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79">
        <f t="shared" si="275"/>
        <v>5</v>
      </c>
    </row>
    <row r="3890" spans="1:6" x14ac:dyDescent="0.25">
      <c r="A3890" s="61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79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79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79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79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79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79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79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79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79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79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79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79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79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79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79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79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79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79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79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79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79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79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79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79">
        <f t="shared" si="277"/>
        <v>5</v>
      </c>
    </row>
    <row r="3914" spans="1:6" x14ac:dyDescent="0.25">
      <c r="A3914" s="61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79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79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79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79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79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79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79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79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79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79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79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79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79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79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79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79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79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79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79">
        <f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79">
        <f t="shared" ref="F3933:F3938" si="280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79">
        <f t="shared" si="280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79">
        <f t="shared" si="280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79">
        <f t="shared" si="280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79">
        <f t="shared" si="280"/>
        <v>5</v>
      </c>
    </row>
    <row r="3938" spans="1:6" x14ac:dyDescent="0.25">
      <c r="A3938" s="61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79">
        <f t="shared" si="280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1">C3939+D3915</f>
        <v>75593</v>
      </c>
      <c r="E3939" s="4">
        <f>3+7+17+11</f>
        <v>38</v>
      </c>
      <c r="F3939" s="79">
        <f t="shared" ref="F3939:F3977" si="282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1"/>
        <v>63</v>
      </c>
      <c r="F3940" s="79">
        <f t="shared" si="282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1"/>
        <v>4328</v>
      </c>
      <c r="F3941" s="79">
        <f t="shared" si="282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1"/>
        <v>391</v>
      </c>
      <c r="F3942" s="79">
        <f t="shared" si="282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1"/>
        <v>4293</v>
      </c>
      <c r="E3943" s="4">
        <f>1</f>
        <v>1</v>
      </c>
      <c r="F3943" s="79">
        <f t="shared" si="282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1"/>
        <v>224</v>
      </c>
      <c r="F3944" s="79">
        <f t="shared" si="282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1"/>
        <v>1464</v>
      </c>
      <c r="E3945" s="4">
        <v>2</v>
      </c>
      <c r="F3945" s="79">
        <f t="shared" si="282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1"/>
        <v>81</v>
      </c>
      <c r="F3946" s="79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1"/>
        <v>4326</v>
      </c>
      <c r="E3947" s="4">
        <f>14+7</f>
        <v>21</v>
      </c>
      <c r="F3947" s="79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1"/>
        <v>210</v>
      </c>
      <c r="F3948" s="79">
        <f t="shared" si="282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1"/>
        <v>660</v>
      </c>
      <c r="F3949" s="79">
        <f t="shared" si="282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1"/>
        <v>2906</v>
      </c>
      <c r="E3950" s="4">
        <v>2</v>
      </c>
      <c r="F3950" s="79">
        <f t="shared" si="282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1"/>
        <v>64</v>
      </c>
      <c r="F3951" s="79">
        <f t="shared" si="282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1"/>
        <v>1726</v>
      </c>
      <c r="E3952" s="4">
        <v>1</v>
      </c>
      <c r="F3952" s="79">
        <f t="shared" si="282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1"/>
        <v>3653</v>
      </c>
      <c r="E3953" s="4">
        <v>6</v>
      </c>
      <c r="F3953" s="79">
        <f t="shared" si="282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79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3">C3955+D3931</f>
        <v>22</v>
      </c>
      <c r="F3955" s="79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3"/>
        <v>34</v>
      </c>
      <c r="F3956" s="79">
        <f t="shared" si="282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3"/>
        <v>951</v>
      </c>
      <c r="F3957" s="79">
        <f t="shared" ref="F3957:F3962" si="284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3"/>
        <v>2954</v>
      </c>
      <c r="E3958" s="4">
        <v>1</v>
      </c>
      <c r="F3958" s="79">
        <f t="shared" si="284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3"/>
        <v>222</v>
      </c>
      <c r="F3959" s="79">
        <f t="shared" si="284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3"/>
        <v>1273</v>
      </c>
      <c r="E3960" s="4">
        <v>3</v>
      </c>
      <c r="F3960" s="79">
        <f t="shared" si="284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3"/>
        <v>540</v>
      </c>
      <c r="F3961" s="79">
        <f t="shared" si="284"/>
        <v>5</v>
      </c>
    </row>
    <row r="3962" spans="1:6" x14ac:dyDescent="0.25">
      <c r="A3962" s="61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79">
        <f t="shared" si="284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5">C3963+D3939</f>
        <v>76508</v>
      </c>
      <c r="E3963" s="4">
        <f>4+2+3</f>
        <v>9</v>
      </c>
      <c r="F3963" s="79">
        <f t="shared" si="282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5"/>
        <v>63</v>
      </c>
      <c r="F3964" s="79">
        <f t="shared" si="282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5"/>
        <v>4368</v>
      </c>
      <c r="E3965" s="4">
        <v>4</v>
      </c>
      <c r="F3965" s="79">
        <f t="shared" si="282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5"/>
        <v>395</v>
      </c>
      <c r="F3966" s="79">
        <f t="shared" si="282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5"/>
        <v>4454</v>
      </c>
      <c r="F3967" s="79">
        <f t="shared" si="282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5"/>
        <v>226</v>
      </c>
      <c r="F3968" s="79">
        <f t="shared" si="282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5"/>
        <v>1528</v>
      </c>
      <c r="E3969" s="4">
        <v>2</v>
      </c>
      <c r="F3969" s="79">
        <f t="shared" si="282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5"/>
        <v>82</v>
      </c>
      <c r="F3970" s="79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5"/>
        <v>4483</v>
      </c>
      <c r="F3971" s="79">
        <f t="shared" si="282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5"/>
        <v>211</v>
      </c>
      <c r="F3972" s="79">
        <f t="shared" si="282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5"/>
        <v>715</v>
      </c>
      <c r="F3973" s="79">
        <f t="shared" si="282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5"/>
        <v>3116</v>
      </c>
      <c r="E3974" s="4">
        <f>1+1+3</f>
        <v>5</v>
      </c>
      <c r="F3974" s="79">
        <f t="shared" si="282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5"/>
        <v>67</v>
      </c>
      <c r="F3975" s="79">
        <f t="shared" si="282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5"/>
        <v>1798</v>
      </c>
      <c r="F3976" s="79">
        <f t="shared" si="282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5"/>
        <v>3768</v>
      </c>
      <c r="E3977" s="4">
        <v>1</v>
      </c>
      <c r="F3977" s="79">
        <f t="shared" si="282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79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6">C3979+D3955</f>
        <v>22</v>
      </c>
      <c r="F3979" s="79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6"/>
        <v>34</v>
      </c>
      <c r="F3980" s="79">
        <f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6"/>
        <v>989</v>
      </c>
      <c r="F3981" s="79">
        <f t="shared" ref="F3981:F3986" si="287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6"/>
        <v>3133</v>
      </c>
      <c r="E3982" s="4">
        <v>1</v>
      </c>
      <c r="F3982" s="79">
        <f t="shared" si="287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6"/>
        <v>248</v>
      </c>
      <c r="F3983" s="79">
        <f t="shared" si="287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6"/>
        <v>1361</v>
      </c>
      <c r="E3984" s="4">
        <v>2</v>
      </c>
      <c r="F3984" s="79">
        <f t="shared" si="287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6"/>
        <v>568</v>
      </c>
      <c r="F3985" s="79">
        <f t="shared" si="287"/>
        <v>5</v>
      </c>
    </row>
    <row r="3986" spans="1:6" x14ac:dyDescent="0.25">
      <c r="A3986" s="61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79">
        <f t="shared" si="287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88">C3987+D3963</f>
        <v>77480</v>
      </c>
      <c r="E3987" s="4">
        <f>2+5+1</f>
        <v>8</v>
      </c>
      <c r="F3987" s="79">
        <f t="shared" ref="F3987:F4025" si="289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88"/>
        <v>63</v>
      </c>
      <c r="F3988" s="79">
        <f t="shared" si="289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88"/>
        <v>4436</v>
      </c>
      <c r="E3989" s="4">
        <v>3</v>
      </c>
      <c r="F3989" s="79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88"/>
        <v>404</v>
      </c>
      <c r="F3990" s="79">
        <f t="shared" si="289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88"/>
        <v>4595</v>
      </c>
      <c r="E3991" s="4">
        <v>4</v>
      </c>
      <c r="F3991" s="79">
        <f t="shared" si="289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88"/>
        <v>229</v>
      </c>
      <c r="F3992" s="79">
        <f t="shared" si="289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88"/>
        <v>1630</v>
      </c>
      <c r="E3993" s="4">
        <v>2</v>
      </c>
      <c r="F3993" s="79">
        <f t="shared" si="289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88"/>
        <v>83</v>
      </c>
      <c r="F3994" s="79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88"/>
        <v>4755</v>
      </c>
      <c r="E3995" s="4">
        <v>16</v>
      </c>
      <c r="F3995" s="79">
        <f t="shared" si="289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88"/>
        <v>212</v>
      </c>
      <c r="F3996" s="79">
        <f t="shared" si="289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88"/>
        <v>749</v>
      </c>
      <c r="F3997" s="79">
        <f t="shared" si="289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88"/>
        <v>3326</v>
      </c>
      <c r="E3998" s="4">
        <v>2</v>
      </c>
      <c r="F3998" s="79">
        <f t="shared" si="289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88"/>
        <v>67</v>
      </c>
      <c r="F3999" s="79">
        <f t="shared" si="289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88"/>
        <v>1825</v>
      </c>
      <c r="F4000" s="79">
        <f t="shared" si="289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88"/>
        <v>3854</v>
      </c>
      <c r="F4001" s="79">
        <f t="shared" si="289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79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0">C4003+D3979</f>
        <v>22</v>
      </c>
      <c r="F4003" s="79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0"/>
        <v>34</v>
      </c>
      <c r="F4004" s="79">
        <f t="shared" si="289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0"/>
        <v>1031</v>
      </c>
      <c r="F4005" s="79">
        <f t="shared" ref="F4005:F4010" si="291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0"/>
        <v>3293</v>
      </c>
      <c r="F4006" s="79">
        <f t="shared" si="291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0"/>
        <v>281</v>
      </c>
      <c r="F4007" s="79">
        <f t="shared" si="291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0"/>
        <v>1418</v>
      </c>
      <c r="F4008" s="79">
        <f t="shared" si="291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0"/>
        <v>610</v>
      </c>
      <c r="F4009" s="79">
        <f t="shared" si="291"/>
        <v>5</v>
      </c>
    </row>
    <row r="4010" spans="1:6" x14ac:dyDescent="0.25">
      <c r="A4010" s="61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79">
        <f t="shared" si="291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2">C4011+D3987</f>
        <v>78190</v>
      </c>
      <c r="E4011" s="4">
        <f>4+6+8+11</f>
        <v>29</v>
      </c>
      <c r="F4011" s="79">
        <f t="shared" si="289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2"/>
        <v>65</v>
      </c>
      <c r="F4012" s="79">
        <f t="shared" si="289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2"/>
        <v>4504</v>
      </c>
      <c r="E4013" s="4">
        <f>3+1</f>
        <v>4</v>
      </c>
      <c r="F4013" s="79">
        <f t="shared" si="289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2"/>
        <v>418</v>
      </c>
      <c r="F4014" s="79">
        <f t="shared" si="289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2"/>
        <v>4767</v>
      </c>
      <c r="E4015" s="4">
        <v>1</v>
      </c>
      <c r="F4015" s="79">
        <f t="shared" si="289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2"/>
        <v>231</v>
      </c>
      <c r="F4016" s="79">
        <f t="shared" si="289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2"/>
        <v>1703</v>
      </c>
      <c r="E4017" s="4">
        <v>2</v>
      </c>
      <c r="F4017" s="79">
        <f t="shared" si="289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2"/>
        <v>83</v>
      </c>
      <c r="F4018" s="79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2"/>
        <v>4999</v>
      </c>
      <c r="F4019" s="79">
        <f t="shared" si="289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2"/>
        <v>213</v>
      </c>
      <c r="F4020" s="79">
        <f t="shared" si="289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2"/>
        <v>794</v>
      </c>
      <c r="F4021" s="79">
        <f t="shared" si="289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2"/>
        <v>3495</v>
      </c>
      <c r="E4022" s="4">
        <v>1</v>
      </c>
      <c r="F4022" s="79">
        <f t="shared" si="289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2"/>
        <v>63</v>
      </c>
      <c r="F4023" s="79">
        <f t="shared" si="289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2"/>
        <v>1889</v>
      </c>
      <c r="E4024" s="4">
        <f>1</f>
        <v>1</v>
      </c>
      <c r="F4024" s="79">
        <f t="shared" si="289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2"/>
        <v>3936</v>
      </c>
      <c r="E4025" s="4">
        <f>1+3+1+1</f>
        <v>6</v>
      </c>
      <c r="F4025" s="79">
        <f t="shared" si="289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79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3">C4027+D4003</f>
        <v>22</v>
      </c>
      <c r="F4027" s="79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3"/>
        <v>34</v>
      </c>
      <c r="F4028" s="79">
        <f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3"/>
        <v>1064</v>
      </c>
      <c r="F4029" s="79">
        <f t="shared" ref="F4029:F4034" si="294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3"/>
        <v>3432</v>
      </c>
      <c r="E4030" s="4">
        <f>1</f>
        <v>1</v>
      </c>
      <c r="F4030" s="79">
        <f t="shared" si="294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3"/>
        <v>325</v>
      </c>
      <c r="F4031" s="79">
        <f t="shared" si="294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3"/>
        <v>1478</v>
      </c>
      <c r="E4032" s="4">
        <f>1</f>
        <v>1</v>
      </c>
      <c r="F4032" s="79">
        <f t="shared" si="294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3"/>
        <v>640</v>
      </c>
      <c r="F4033" s="79">
        <f t="shared" si="294"/>
        <v>5</v>
      </c>
    </row>
    <row r="4034" spans="1:6" x14ac:dyDescent="0.25">
      <c r="A4034" s="61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79">
        <f t="shared" si="294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79">
        <f t="shared" ref="F4035:F4073" si="295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79">
        <f t="shared" si="295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79">
        <f t="shared" si="295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79">
        <f t="shared" si="295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79">
        <f t="shared" si="295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79">
        <f t="shared" si="295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79">
        <f t="shared" si="295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79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79">
        <f t="shared" si="295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79">
        <f t="shared" si="295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79">
        <f t="shared" si="295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79">
        <f t="shared" si="295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79">
        <f t="shared" si="295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79">
        <f t="shared" si="295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79">
        <f t="shared" si="295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79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79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79">
        <f t="shared" si="295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79">
        <f t="shared" ref="F4053:F4058" si="296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79">
        <f t="shared" si="296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79">
        <f t="shared" si="296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79">
        <f t="shared" si="296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79">
        <f t="shared" si="296"/>
        <v>5</v>
      </c>
    </row>
    <row r="4058" spans="1:6" x14ac:dyDescent="0.25">
      <c r="A4058" s="61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79">
        <f t="shared" si="296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297">C4059+D4035</f>
        <v>80346</v>
      </c>
      <c r="E4059" s="4">
        <f>6+5+14+22</f>
        <v>47</v>
      </c>
      <c r="F4059" s="79">
        <f t="shared" si="295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297"/>
        <v>63</v>
      </c>
      <c r="F4060" s="79">
        <f t="shared" si="295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297"/>
        <v>4606</v>
      </c>
      <c r="E4061" s="4">
        <v>1</v>
      </c>
      <c r="F4061" s="79">
        <f t="shared" si="295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297"/>
        <v>437</v>
      </c>
      <c r="F4062" s="79">
        <f t="shared" si="295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297"/>
        <v>5091</v>
      </c>
      <c r="F4063" s="79">
        <f t="shared" si="295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297"/>
        <v>236</v>
      </c>
      <c r="F4064" s="79">
        <f t="shared" si="295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297"/>
        <v>1810</v>
      </c>
      <c r="E4065" s="4">
        <v>1</v>
      </c>
      <c r="F4065" s="79">
        <f t="shared" si="295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297"/>
        <v>79</v>
      </c>
      <c r="F4066" s="79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297"/>
        <v>5360</v>
      </c>
      <c r="E4067" s="4">
        <v>12</v>
      </c>
      <c r="F4067" s="79">
        <f t="shared" si="295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297"/>
        <v>186</v>
      </c>
      <c r="F4068" s="79">
        <f t="shared" si="295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297"/>
        <v>905</v>
      </c>
      <c r="F4069" s="79">
        <f t="shared" si="295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297"/>
        <v>3773</v>
      </c>
      <c r="E4070" s="4">
        <v>5</v>
      </c>
      <c r="F4070" s="79">
        <f t="shared" si="295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297"/>
        <v>55</v>
      </c>
      <c r="F4071" s="79">
        <f t="shared" si="295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297"/>
        <v>1961</v>
      </c>
      <c r="E4072" s="4">
        <v>1</v>
      </c>
      <c r="F4072" s="79">
        <f t="shared" si="295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297"/>
        <v>4168</v>
      </c>
      <c r="E4073" s="4">
        <v>3</v>
      </c>
      <c r="F4073" s="79">
        <f t="shared" si="295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79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298">C4075+D4051</f>
        <v>22</v>
      </c>
      <c r="F4075" s="79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298"/>
        <v>36</v>
      </c>
      <c r="F4076" s="79">
        <f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298"/>
        <v>1145</v>
      </c>
      <c r="F4077" s="79">
        <f t="shared" ref="F4077:F4082" si="299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298"/>
        <v>3763</v>
      </c>
      <c r="E4078" s="4">
        <v>2</v>
      </c>
      <c r="F4078" s="79">
        <f t="shared" si="299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298"/>
        <v>379</v>
      </c>
      <c r="F4079" s="79">
        <f t="shared" si="299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298"/>
        <v>1553</v>
      </c>
      <c r="F4080" s="79">
        <f t="shared" si="299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298"/>
        <v>782</v>
      </c>
      <c r="F4081" s="79">
        <f t="shared" si="299"/>
        <v>5</v>
      </c>
    </row>
    <row r="4082" spans="1:6" x14ac:dyDescent="0.25">
      <c r="A4082" s="61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79">
        <f t="shared" si="299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0">C4083+D4059</f>
        <v>81626</v>
      </c>
      <c r="E4083" s="4">
        <f>6+10+12+8</f>
        <v>36</v>
      </c>
      <c r="F4083" s="79">
        <f t="shared" ref="F4083:F4121" si="301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0"/>
        <v>64</v>
      </c>
      <c r="F4084" s="79">
        <f t="shared" si="301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0"/>
        <v>4701</v>
      </c>
      <c r="E4085" s="4">
        <v>2</v>
      </c>
      <c r="F4085" s="79">
        <f t="shared" si="301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0"/>
        <v>455</v>
      </c>
      <c r="E4086" s="4">
        <v>1</v>
      </c>
      <c r="F4086" s="79">
        <f t="shared" si="301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0"/>
        <v>5272</v>
      </c>
      <c r="E4087" s="4">
        <f>4+1</f>
        <v>5</v>
      </c>
      <c r="F4087" s="79">
        <f t="shared" si="301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0"/>
        <v>239</v>
      </c>
      <c r="F4088" s="79">
        <f t="shared" si="301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0"/>
        <v>1861</v>
      </c>
      <c r="F4089" s="79">
        <f t="shared" si="301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0"/>
        <v>80</v>
      </c>
      <c r="F4090" s="79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0"/>
        <v>5624</v>
      </c>
      <c r="E4091" s="4">
        <f>1+8+6</f>
        <v>15</v>
      </c>
      <c r="F4091" s="79">
        <f t="shared" si="301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0"/>
        <v>187</v>
      </c>
      <c r="F4092" s="79">
        <f t="shared" si="301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0"/>
        <v>927</v>
      </c>
      <c r="F4093" s="79">
        <f t="shared" si="301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0"/>
        <v>4040</v>
      </c>
      <c r="E4094" s="4">
        <f>2+2</f>
        <v>4</v>
      </c>
      <c r="F4094" s="79">
        <f t="shared" si="301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0"/>
        <v>53</v>
      </c>
      <c r="F4095" s="79">
        <f t="shared" si="301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0"/>
        <v>2020</v>
      </c>
      <c r="E4096" s="4">
        <v>1</v>
      </c>
      <c r="F4096" s="79">
        <f t="shared" si="301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0"/>
        <v>4329</v>
      </c>
      <c r="E4097" s="4">
        <f>3+1+2</f>
        <v>6</v>
      </c>
      <c r="F4097" s="79">
        <f t="shared" si="301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79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2">C4099+D4075</f>
        <v>35</v>
      </c>
      <c r="F4099" s="79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2"/>
        <v>39</v>
      </c>
      <c r="F4100" s="79">
        <f t="shared" si="301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2"/>
        <v>1178</v>
      </c>
      <c r="E4101" s="4">
        <f>3+3</f>
        <v>6</v>
      </c>
      <c r="F4101" s="79">
        <f t="shared" ref="F4101:F4106" si="303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2"/>
        <v>4053</v>
      </c>
      <c r="E4102" s="4">
        <v>3</v>
      </c>
      <c r="F4102" s="79">
        <f t="shared" si="303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2"/>
        <v>417</v>
      </c>
      <c r="F4103" s="79">
        <f t="shared" si="303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2"/>
        <v>1600</v>
      </c>
      <c r="E4104" s="4">
        <v>1</v>
      </c>
      <c r="F4104" s="79">
        <f t="shared" si="303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2"/>
        <v>837</v>
      </c>
      <c r="E4105" s="4">
        <v>1</v>
      </c>
      <c r="F4105" s="79">
        <f t="shared" si="303"/>
        <v>6</v>
      </c>
    </row>
    <row r="4106" spans="1:6" x14ac:dyDescent="0.25">
      <c r="A4106" s="61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79">
        <f t="shared" si="303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4">C4107+D4083</f>
        <v>82805</v>
      </c>
      <c r="E4107" s="4">
        <f>5+14+12</f>
        <v>31</v>
      </c>
      <c r="F4107" s="79">
        <f t="shared" si="301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4"/>
        <v>63</v>
      </c>
      <c r="F4108" s="79">
        <f t="shared" si="301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4"/>
        <v>4756</v>
      </c>
      <c r="E4109" s="4">
        <f>2</f>
        <v>2</v>
      </c>
      <c r="F4109" s="79">
        <f t="shared" si="301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4"/>
        <v>474</v>
      </c>
      <c r="E4110" s="4">
        <f>1</f>
        <v>1</v>
      </c>
      <c r="F4110" s="79">
        <f t="shared" si="301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4"/>
        <v>5454</v>
      </c>
      <c r="E4111" s="4">
        <v>2</v>
      </c>
      <c r="F4111" s="79">
        <f t="shared" si="301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4"/>
        <v>243</v>
      </c>
      <c r="E4112" s="4">
        <v>1</v>
      </c>
      <c r="F4112" s="79">
        <f t="shared" si="301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4"/>
        <v>1997</v>
      </c>
      <c r="E4113" s="4">
        <v>2</v>
      </c>
      <c r="F4113" s="79">
        <f t="shared" si="301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4"/>
        <v>79</v>
      </c>
      <c r="F4114" s="79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4"/>
        <v>5874</v>
      </c>
      <c r="E4115" s="4">
        <f>8+4+10+5</f>
        <v>27</v>
      </c>
      <c r="F4115" s="79">
        <f t="shared" si="301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4"/>
        <v>187</v>
      </c>
      <c r="F4116" s="79">
        <f t="shared" si="301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4"/>
        <v>978</v>
      </c>
      <c r="F4117" s="79">
        <f t="shared" si="301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4"/>
        <v>4252</v>
      </c>
      <c r="E4118" s="4">
        <f>1+2+1+1</f>
        <v>5</v>
      </c>
      <c r="F4118" s="79">
        <f t="shared" si="301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4"/>
        <v>58</v>
      </c>
      <c r="F4119" s="79">
        <f t="shared" si="301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4"/>
        <v>2067</v>
      </c>
      <c r="E4120" s="4">
        <f>2</f>
        <v>2</v>
      </c>
      <c r="F4120" s="79">
        <f t="shared" si="301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4"/>
        <v>4466</v>
      </c>
      <c r="F4121" s="79">
        <f t="shared" si="301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79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5">C4123+D4099</f>
        <v>36</v>
      </c>
      <c r="F4123" s="79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5"/>
        <v>39</v>
      </c>
      <c r="F4124" s="79">
        <f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5"/>
        <v>1246</v>
      </c>
      <c r="F4125" s="79">
        <f t="shared" ref="F4125:F4130" si="306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5"/>
        <v>4315</v>
      </c>
      <c r="E4126" s="4">
        <v>6</v>
      </c>
      <c r="F4126" s="79">
        <f t="shared" si="306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5"/>
        <v>455</v>
      </c>
      <c r="E4127" s="4">
        <v>1</v>
      </c>
      <c r="F4127" s="79">
        <f t="shared" si="306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5"/>
        <v>1636</v>
      </c>
      <c r="F4128" s="79">
        <f t="shared" si="306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5"/>
        <v>904</v>
      </c>
      <c r="F4129" s="79">
        <f t="shared" si="306"/>
        <v>6</v>
      </c>
    </row>
    <row r="4130" spans="1:6" x14ac:dyDescent="0.25">
      <c r="A4130" s="61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79">
        <f t="shared" si="306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07">C4131+D4107</f>
        <v>83905</v>
      </c>
      <c r="E4131" s="4">
        <f>1+1+3+5</f>
        <v>10</v>
      </c>
      <c r="F4131" s="79">
        <f t="shared" ref="F4131:F4169" si="308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07"/>
        <v>64</v>
      </c>
      <c r="F4132" s="79">
        <f t="shared" si="308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07"/>
        <v>4834</v>
      </c>
      <c r="F4133" s="79">
        <f t="shared" si="308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07"/>
        <v>510</v>
      </c>
      <c r="F4134" s="79">
        <f t="shared" si="308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07"/>
        <v>5673</v>
      </c>
      <c r="E4135" s="4">
        <v>4</v>
      </c>
      <c r="F4135" s="79">
        <f t="shared" si="308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07"/>
        <v>247</v>
      </c>
      <c r="F4136" s="79">
        <f t="shared" si="308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07"/>
        <v>2132</v>
      </c>
      <c r="F4137" s="79">
        <f t="shared" si="308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07"/>
        <v>80</v>
      </c>
      <c r="F4138" s="79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07"/>
        <v>6086</v>
      </c>
      <c r="E4139" s="4">
        <f>10+4</f>
        <v>14</v>
      </c>
      <c r="F4139" s="79">
        <f t="shared" si="308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07"/>
        <v>191</v>
      </c>
      <c r="F4140" s="79">
        <f t="shared" si="308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07"/>
        <v>1006</v>
      </c>
      <c r="F4141" s="79">
        <f t="shared" si="308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07"/>
        <v>4497</v>
      </c>
      <c r="E4142" s="4">
        <f>1+2</f>
        <v>3</v>
      </c>
      <c r="F4142" s="79">
        <f t="shared" si="308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07"/>
        <v>59</v>
      </c>
      <c r="F4143" s="79">
        <f t="shared" si="308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07"/>
        <v>2170</v>
      </c>
      <c r="F4144" s="79">
        <f t="shared" si="308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07"/>
        <v>4584</v>
      </c>
      <c r="E4145" s="4">
        <f>1+1</f>
        <v>2</v>
      </c>
      <c r="F4145" s="79">
        <f t="shared" si="308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79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09">C4147+D4123</f>
        <v>39</v>
      </c>
      <c r="F4147" s="79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09"/>
        <v>41</v>
      </c>
      <c r="F4148" s="79">
        <f t="shared" si="308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09"/>
        <v>1293</v>
      </c>
      <c r="F4149" s="79">
        <f t="shared" ref="F4149:F4154" si="310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09"/>
        <v>4609</v>
      </c>
      <c r="E4150" s="4">
        <f>2+2</f>
        <v>4</v>
      </c>
      <c r="F4150" s="79">
        <f t="shared" si="310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09"/>
        <v>489</v>
      </c>
      <c r="F4151" s="79">
        <f t="shared" si="310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09"/>
        <v>1670</v>
      </c>
      <c r="F4152" s="79">
        <f t="shared" si="310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09"/>
        <v>976</v>
      </c>
      <c r="F4153" s="79">
        <f t="shared" si="310"/>
        <v>6</v>
      </c>
    </row>
    <row r="4154" spans="1:6" x14ac:dyDescent="0.25">
      <c r="A4154" s="61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79">
        <f t="shared" si="310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1">C4155+D4131</f>
        <v>84925</v>
      </c>
      <c r="E4155" s="4">
        <f>5+3</f>
        <v>8</v>
      </c>
      <c r="F4155" s="79">
        <f t="shared" si="308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1"/>
        <v>63</v>
      </c>
      <c r="F4156" s="79">
        <f t="shared" si="308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1"/>
        <v>4861</v>
      </c>
      <c r="F4157" s="79">
        <f t="shared" si="308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1"/>
        <v>534</v>
      </c>
      <c r="F4158" s="79">
        <f t="shared" si="308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1"/>
        <v>5906</v>
      </c>
      <c r="E4159" s="4">
        <f>2</f>
        <v>2</v>
      </c>
      <c r="F4159" s="79">
        <f t="shared" si="308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1"/>
        <v>252</v>
      </c>
      <c r="E4160" s="4">
        <f>1</f>
        <v>1</v>
      </c>
      <c r="F4160" s="79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1"/>
        <v>2258</v>
      </c>
      <c r="F4161" s="79">
        <f t="shared" si="308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1"/>
        <v>82</v>
      </c>
      <c r="F4162" s="79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1"/>
        <v>6271</v>
      </c>
      <c r="F4163" s="79">
        <f t="shared" si="308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1"/>
        <v>195</v>
      </c>
      <c r="F4164" s="79">
        <f t="shared" si="308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1"/>
        <v>1040</v>
      </c>
      <c r="E4165" s="4">
        <f>9+1</f>
        <v>10</v>
      </c>
      <c r="F4165" s="79">
        <f t="shared" si="308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1"/>
        <v>4637</v>
      </c>
      <c r="E4166" s="4">
        <f>1+2</f>
        <v>3</v>
      </c>
      <c r="F4166" s="79">
        <f t="shared" si="308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1"/>
        <v>56</v>
      </c>
      <c r="F4167" s="79">
        <f t="shared" si="308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79">
        <f t="shared" si="308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79">
        <f t="shared" si="308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79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2">C4171+D4147</f>
        <v>58</v>
      </c>
      <c r="F4171" s="79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2"/>
        <v>43</v>
      </c>
      <c r="F4172" s="79">
        <f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2"/>
        <v>1334</v>
      </c>
      <c r="F4173" s="79">
        <f t="shared" ref="F4173:F4178" si="313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2"/>
        <v>4817</v>
      </c>
      <c r="E4174" s="4">
        <f>2+1</f>
        <v>3</v>
      </c>
      <c r="F4174" s="79">
        <f t="shared" si="313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2"/>
        <v>517</v>
      </c>
      <c r="F4175" s="79">
        <f t="shared" si="313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2"/>
        <v>1698</v>
      </c>
      <c r="E4176" s="4">
        <f>1</f>
        <v>1</v>
      </c>
      <c r="F4176" s="79">
        <f t="shared" si="313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2"/>
        <v>1053</v>
      </c>
      <c r="F4177" s="79">
        <f t="shared" si="313"/>
        <v>6</v>
      </c>
    </row>
    <row r="4178" spans="1:6" x14ac:dyDescent="0.25">
      <c r="A4178" s="61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79">
        <f t="shared" si="313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14">C4179+D4155</f>
        <v>86258</v>
      </c>
      <c r="E4179" s="4">
        <f>3+5+22+22</f>
        <v>52</v>
      </c>
      <c r="F4179" s="79">
        <f t="shared" ref="F4179:F4217" si="315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14"/>
        <v>64</v>
      </c>
      <c r="F4180" s="79">
        <f t="shared" si="315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14"/>
        <v>4914</v>
      </c>
      <c r="E4181" s="4">
        <f>1+2+1</f>
        <v>4</v>
      </c>
      <c r="F4181" s="79">
        <f t="shared" si="315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14"/>
        <v>546</v>
      </c>
      <c r="F4182" s="79">
        <f t="shared" si="315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14"/>
        <v>6114</v>
      </c>
      <c r="E4183" s="4">
        <f>3+1</f>
        <v>4</v>
      </c>
      <c r="F4183" s="79">
        <f t="shared" si="315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14"/>
        <v>259</v>
      </c>
      <c r="E4184" s="4">
        <f>1</f>
        <v>1</v>
      </c>
      <c r="F4184" s="79">
        <f t="shared" si="315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14"/>
        <v>2382</v>
      </c>
      <c r="F4185" s="79">
        <f t="shared" si="315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14"/>
        <v>84</v>
      </c>
      <c r="F4186" s="79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14"/>
        <v>6623</v>
      </c>
      <c r="E4187" s="4">
        <f>1+2+4+5</f>
        <v>12</v>
      </c>
      <c r="F4187" s="79">
        <f t="shared" si="315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14"/>
        <v>193</v>
      </c>
      <c r="F4188" s="79">
        <f t="shared" si="315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14"/>
        <v>1138</v>
      </c>
      <c r="E4189" s="4">
        <f>6+4</f>
        <v>10</v>
      </c>
      <c r="F4189" s="79">
        <f t="shared" si="315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14"/>
        <v>4809</v>
      </c>
      <c r="E4190" s="4">
        <f>1+1+1</f>
        <v>3</v>
      </c>
      <c r="F4190" s="79">
        <f t="shared" si="315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14"/>
        <v>58</v>
      </c>
      <c r="F4191" s="79">
        <f t="shared" si="315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79">
        <f t="shared" si="315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79">
        <f t="shared" si="315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79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16">C4195+D4171</f>
        <v>96</v>
      </c>
      <c r="F4195" s="79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16"/>
        <v>41</v>
      </c>
      <c r="F4196" s="79">
        <f t="shared" si="315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16"/>
        <v>1378</v>
      </c>
      <c r="E4197" s="4">
        <f>2</f>
        <v>2</v>
      </c>
      <c r="F4197" s="79">
        <f t="shared" ref="F4197:F4203" si="317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16"/>
        <v>5026</v>
      </c>
      <c r="E4198" s="4">
        <f>5+2</f>
        <v>7</v>
      </c>
      <c r="F4198" s="79">
        <f t="shared" si="317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16"/>
        <v>583</v>
      </c>
      <c r="E4199" s="4">
        <f>2</f>
        <v>2</v>
      </c>
      <c r="F4199" s="79">
        <f t="shared" si="317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16"/>
        <v>1752</v>
      </c>
      <c r="E4200" s="4">
        <f>1</f>
        <v>1</v>
      </c>
      <c r="F4200" s="79">
        <f t="shared" si="317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16"/>
        <v>1168</v>
      </c>
      <c r="F4201" s="79">
        <f t="shared" si="317"/>
        <v>6</v>
      </c>
    </row>
    <row r="4202" spans="1:6" x14ac:dyDescent="0.25">
      <c r="A4202" s="61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79">
        <f t="shared" si="317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18">C4203+D4179</f>
        <v>87569</v>
      </c>
      <c r="E4203" s="4">
        <f>3+14+16</f>
        <v>33</v>
      </c>
      <c r="F4203" s="79">
        <f t="shared" si="317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18"/>
        <v>64</v>
      </c>
      <c r="F4204" s="79">
        <f t="shared" si="315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18"/>
        <v>4967</v>
      </c>
      <c r="E4205" s="4">
        <v>1</v>
      </c>
      <c r="F4205" s="79">
        <f t="shared" si="315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18"/>
        <v>581</v>
      </c>
      <c r="F4206" s="79">
        <f t="shared" si="315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18"/>
        <v>6412</v>
      </c>
      <c r="E4207" s="4">
        <v>3</v>
      </c>
      <c r="F4207" s="79">
        <f t="shared" si="315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18"/>
        <v>260</v>
      </c>
      <c r="F4208" s="79">
        <f t="shared" si="315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18"/>
        <v>2509</v>
      </c>
      <c r="E4209" s="4">
        <v>3</v>
      </c>
      <c r="F4209" s="79">
        <f t="shared" si="315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18"/>
        <v>83</v>
      </c>
      <c r="F4210" s="79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18"/>
        <v>6838</v>
      </c>
      <c r="E4211" s="4">
        <v>10</v>
      </c>
      <c r="F4211" s="79">
        <f t="shared" si="315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18"/>
        <v>194</v>
      </c>
      <c r="E4212" s="4">
        <v>1</v>
      </c>
      <c r="F4212" s="79">
        <f t="shared" si="315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18"/>
        <v>1177</v>
      </c>
      <c r="E4213" s="4">
        <v>6</v>
      </c>
      <c r="F4213" s="79">
        <f t="shared" si="315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18"/>
        <v>5073</v>
      </c>
      <c r="E4214" s="4">
        <f>3+1</f>
        <v>4</v>
      </c>
      <c r="F4214" s="79">
        <f t="shared" si="315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18"/>
        <v>59</v>
      </c>
      <c r="F4215" s="79">
        <f t="shared" si="315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79">
        <f t="shared" si="315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79">
        <f t="shared" si="315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79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19">C4219+D4195</f>
        <v>110</v>
      </c>
      <c r="F4219" s="79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19"/>
        <v>40</v>
      </c>
      <c r="F4220" s="79">
        <f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19"/>
        <v>1416</v>
      </c>
      <c r="F4221" s="79">
        <f t="shared" ref="F4221:F4226" si="320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19"/>
        <v>5382</v>
      </c>
      <c r="E4222" s="4">
        <f>2+3</f>
        <v>5</v>
      </c>
      <c r="F4222" s="79">
        <f t="shared" si="320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19"/>
        <v>654</v>
      </c>
      <c r="E4223" s="4">
        <f>1+1</f>
        <v>2</v>
      </c>
      <c r="F4223" s="79">
        <f t="shared" si="320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19"/>
        <v>1803</v>
      </c>
      <c r="E4224" s="4">
        <f>1</f>
        <v>1</v>
      </c>
      <c r="F4224" s="79">
        <f t="shared" si="320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19"/>
        <v>1281</v>
      </c>
      <c r="E4225" s="4">
        <f>1</f>
        <v>1</v>
      </c>
      <c r="F4225" s="79">
        <f t="shared" si="320"/>
        <v>7</v>
      </c>
    </row>
    <row r="4226" spans="1:6" x14ac:dyDescent="0.25">
      <c r="A4226" s="61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79">
        <f t="shared" si="320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1">C4227+D4203</f>
        <v>89137</v>
      </c>
      <c r="E4227" s="4">
        <f>1+6+15+18</f>
        <v>40</v>
      </c>
      <c r="F4227" s="79">
        <f t="shared" ref="F4227:F4265" si="322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1"/>
        <v>63</v>
      </c>
      <c r="F4228" s="79">
        <f t="shared" si="322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1"/>
        <v>5041</v>
      </c>
      <c r="E4229" s="4">
        <f>1+2+1</f>
        <v>4</v>
      </c>
      <c r="F4229" s="79">
        <f t="shared" si="322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1"/>
        <v>650</v>
      </c>
      <c r="F4230" s="79">
        <f t="shared" si="322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1"/>
        <v>6767</v>
      </c>
      <c r="E4231" s="4">
        <f>4</f>
        <v>4</v>
      </c>
      <c r="F4231" s="79">
        <f t="shared" si="322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1"/>
        <v>272</v>
      </c>
      <c r="F4232" s="79">
        <f t="shared" si="322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1"/>
        <v>2621</v>
      </c>
      <c r="E4233" s="4">
        <f>1</f>
        <v>1</v>
      </c>
      <c r="F4233" s="79">
        <f t="shared" si="322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1"/>
        <v>82</v>
      </c>
      <c r="F4234" s="79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1"/>
        <v>7074</v>
      </c>
      <c r="E4235" s="4">
        <f>9+4</f>
        <v>13</v>
      </c>
      <c r="F4235" s="79">
        <f t="shared" si="322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1"/>
        <v>195</v>
      </c>
      <c r="F4236" s="79">
        <f t="shared" si="322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1"/>
        <v>1214</v>
      </c>
      <c r="E4237" s="4">
        <f>1</f>
        <v>1</v>
      </c>
      <c r="F4237" s="79">
        <f t="shared" si="322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1"/>
        <v>5349</v>
      </c>
      <c r="E4238" s="4">
        <f>3+1</f>
        <v>4</v>
      </c>
      <c r="F4238" s="79">
        <f t="shared" si="322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1"/>
        <v>59</v>
      </c>
      <c r="F4239" s="79">
        <f t="shared" si="322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79">
        <f t="shared" si="322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79">
        <f t="shared" si="322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79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23">C4243+D4219</f>
        <v>146</v>
      </c>
      <c r="F4243" s="79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23"/>
        <v>44</v>
      </c>
      <c r="F4244" s="79">
        <f t="shared" si="322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23"/>
        <v>1479</v>
      </c>
      <c r="F4245" s="79">
        <f t="shared" ref="F4245:F4250" si="324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23"/>
        <v>5763</v>
      </c>
      <c r="E4246" s="4">
        <f>2+2</f>
        <v>4</v>
      </c>
      <c r="F4246" s="79">
        <f t="shared" si="324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23"/>
        <v>692</v>
      </c>
      <c r="F4247" s="79">
        <f t="shared" si="324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23"/>
        <v>1854</v>
      </c>
      <c r="E4248" s="4">
        <f>1+1</f>
        <v>2</v>
      </c>
      <c r="F4248" s="79">
        <f t="shared" si="324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23"/>
        <v>1349</v>
      </c>
      <c r="F4249" s="79">
        <f t="shared" si="324"/>
        <v>7</v>
      </c>
    </row>
    <row r="4250" spans="1:6" x14ac:dyDescent="0.25">
      <c r="A4250" s="61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79">
        <f t="shared" si="324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25">C4251+D4227</f>
        <v>90357</v>
      </c>
      <c r="E4251" s="4">
        <f>4+4+16+10</f>
        <v>34</v>
      </c>
      <c r="F4251" s="79">
        <f t="shared" si="322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25"/>
        <v>64</v>
      </c>
      <c r="F4252" s="79">
        <f t="shared" si="322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25"/>
        <v>5104</v>
      </c>
      <c r="E4253" s="4">
        <f>1</f>
        <v>1</v>
      </c>
      <c r="F4253" s="79">
        <f t="shared" si="322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25"/>
        <v>699</v>
      </c>
      <c r="F4254" s="79">
        <f t="shared" si="322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25"/>
        <v>7130</v>
      </c>
      <c r="E4255" s="4">
        <v>1</v>
      </c>
      <c r="F4255" s="79">
        <f t="shared" si="322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25"/>
        <v>278</v>
      </c>
      <c r="F4256" s="79">
        <f t="shared" si="322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25"/>
        <v>2781</v>
      </c>
      <c r="E4257" s="4">
        <f>1</f>
        <v>1</v>
      </c>
      <c r="F4257" s="79">
        <f t="shared" si="322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25"/>
        <v>82</v>
      </c>
      <c r="F4258" s="79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25"/>
        <v>7274</v>
      </c>
      <c r="E4259" s="4">
        <f>4+2+3</f>
        <v>9</v>
      </c>
      <c r="F4259" s="79">
        <f t="shared" si="322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25"/>
        <v>194</v>
      </c>
      <c r="F4260" s="79">
        <f t="shared" si="322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25"/>
        <v>1272</v>
      </c>
      <c r="E4261" s="4">
        <v>3</v>
      </c>
      <c r="F4261" s="79">
        <f t="shared" si="322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25"/>
        <v>5601</v>
      </c>
      <c r="E4262" s="4">
        <f>2</f>
        <v>2</v>
      </c>
      <c r="F4262" s="79">
        <f t="shared" si="322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25"/>
        <v>58</v>
      </c>
      <c r="F4263" s="79">
        <f t="shared" si="322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79">
        <f t="shared" si="322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79">
        <f t="shared" si="322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79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26">C4267+D4243</f>
        <v>182</v>
      </c>
      <c r="F4267" s="79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26"/>
        <v>51</v>
      </c>
      <c r="F4268" s="79">
        <f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26"/>
        <v>1530</v>
      </c>
      <c r="F4269" s="79">
        <f t="shared" ref="F4269:F4274" si="327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26"/>
        <v>6234</v>
      </c>
      <c r="E4270" s="4">
        <f>3+1</f>
        <v>4</v>
      </c>
      <c r="F4270" s="79">
        <f t="shared" si="327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26"/>
        <v>745</v>
      </c>
      <c r="F4271" s="79">
        <f t="shared" si="327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26"/>
        <v>1879</v>
      </c>
      <c r="F4272" s="79">
        <f t="shared" si="327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26"/>
        <v>1469</v>
      </c>
      <c r="E4273" s="4">
        <f>1</f>
        <v>1</v>
      </c>
      <c r="F4273" s="79">
        <f t="shared" si="327"/>
        <v>8</v>
      </c>
    </row>
    <row r="4274" spans="1:6" x14ac:dyDescent="0.25">
      <c r="A4274" s="61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79">
        <f t="shared" si="327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28">C4275+D4251</f>
        <v>91787</v>
      </c>
      <c r="E4275" s="4">
        <f>8+5+14+7+1</f>
        <v>35</v>
      </c>
      <c r="F4275" s="79">
        <f t="shared" ref="F4275:F4313" si="329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28"/>
        <v>65</v>
      </c>
      <c r="F4276" s="79">
        <f t="shared" si="329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28"/>
        <v>5183</v>
      </c>
      <c r="E4277" s="4">
        <f>2</f>
        <v>2</v>
      </c>
      <c r="F4277" s="79">
        <f t="shared" si="329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28"/>
        <v>765</v>
      </c>
      <c r="F4278" s="79">
        <f t="shared" si="329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28"/>
        <v>7505</v>
      </c>
      <c r="E4279" s="4">
        <f>2</f>
        <v>2</v>
      </c>
      <c r="F4279" s="79">
        <f t="shared" si="329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28"/>
        <v>313</v>
      </c>
      <c r="F4280" s="79">
        <f t="shared" si="329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28"/>
        <v>2936</v>
      </c>
      <c r="E4281" s="4">
        <f>1+3</f>
        <v>4</v>
      </c>
      <c r="F4281" s="79">
        <f t="shared" si="329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28"/>
        <v>84</v>
      </c>
      <c r="F4282" s="79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28"/>
        <v>7621</v>
      </c>
      <c r="E4283" s="4">
        <f>3+3+2+3</f>
        <v>11</v>
      </c>
      <c r="F4283" s="79">
        <f t="shared" si="329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28"/>
        <v>194</v>
      </c>
      <c r="F4284" s="79">
        <f t="shared" si="329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28"/>
        <v>1332</v>
      </c>
      <c r="F4285" s="79">
        <f t="shared" si="329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28"/>
        <v>5943</v>
      </c>
      <c r="E4286" s="4">
        <f>2+1</f>
        <v>3</v>
      </c>
      <c r="F4286" s="79">
        <f t="shared" si="329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28"/>
        <v>59</v>
      </c>
      <c r="F4287" s="79">
        <f t="shared" si="329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79">
        <f t="shared" si="329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79">
        <f t="shared" si="329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79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0">C4291+D4267</f>
        <v>193</v>
      </c>
      <c r="F4291" s="79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0"/>
        <v>61</v>
      </c>
      <c r="F4292" s="79">
        <f t="shared" si="329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0"/>
        <v>1618</v>
      </c>
      <c r="E4293" s="4">
        <f>2</f>
        <v>2</v>
      </c>
      <c r="F4293" s="79">
        <f t="shared" ref="F4293:F4298" si="331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0"/>
        <v>6741</v>
      </c>
      <c r="E4294" s="4">
        <f>2+2</f>
        <v>4</v>
      </c>
      <c r="F4294" s="79">
        <f t="shared" si="331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0"/>
        <v>789</v>
      </c>
      <c r="F4295" s="79">
        <f t="shared" si="331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0"/>
        <v>1908</v>
      </c>
      <c r="E4296" s="4">
        <f>1+1</f>
        <v>2</v>
      </c>
      <c r="F4296" s="79">
        <f t="shared" si="331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0"/>
        <v>1604</v>
      </c>
      <c r="E4297" s="4">
        <f>4+1</f>
        <v>5</v>
      </c>
      <c r="F4297" s="79">
        <f t="shared" si="331"/>
        <v>13</v>
      </c>
    </row>
    <row r="4298" spans="1:6" x14ac:dyDescent="0.25">
      <c r="A4298" s="61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79">
        <f t="shared" si="331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32">C4299+D4275</f>
        <v>92982</v>
      </c>
      <c r="E4299" s="4">
        <f>7+5+10+3</f>
        <v>25</v>
      </c>
      <c r="F4299" s="79">
        <f t="shared" si="329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32"/>
        <v>65</v>
      </c>
      <c r="F4300" s="79">
        <f t="shared" si="329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32"/>
        <v>5281</v>
      </c>
      <c r="E4301" s="4">
        <f>1+1</f>
        <v>2</v>
      </c>
      <c r="F4301" s="79">
        <f t="shared" si="329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32"/>
        <v>808</v>
      </c>
      <c r="F4302" s="79">
        <f t="shared" si="329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32"/>
        <v>7842</v>
      </c>
      <c r="E4303" s="4">
        <f>4+2</f>
        <v>6</v>
      </c>
      <c r="F4303" s="79">
        <f t="shared" si="329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32"/>
        <v>321</v>
      </c>
      <c r="F4304" s="79">
        <f t="shared" si="329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32"/>
        <v>3061</v>
      </c>
      <c r="F4305" s="79">
        <f t="shared" si="329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32"/>
        <v>84</v>
      </c>
      <c r="F4306" s="79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32"/>
        <v>7942</v>
      </c>
      <c r="F4307" s="79">
        <f t="shared" si="329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32"/>
        <v>200</v>
      </c>
      <c r="F4308" s="79">
        <f t="shared" si="329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32"/>
        <v>1360</v>
      </c>
      <c r="F4309" s="79">
        <f t="shared" si="329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32"/>
        <v>6233</v>
      </c>
      <c r="F4310" s="79">
        <f t="shared" si="329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32"/>
        <v>60</v>
      </c>
      <c r="F4311" s="79">
        <f t="shared" si="329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79">
        <f t="shared" si="329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79">
        <f t="shared" si="329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79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33">C4315+D4291</f>
        <v>206</v>
      </c>
      <c r="F4315" s="79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33"/>
        <v>86</v>
      </c>
      <c r="F4316" s="79">
        <f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33"/>
        <v>1650</v>
      </c>
      <c r="F4317" s="79">
        <f t="shared" ref="F4317:F4322" si="334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33"/>
        <v>7147</v>
      </c>
      <c r="E4318" s="4">
        <f>1</f>
        <v>1</v>
      </c>
      <c r="F4318" s="79">
        <f t="shared" si="334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33"/>
        <v>841</v>
      </c>
      <c r="E4319" s="4">
        <f>1+2</f>
        <v>3</v>
      </c>
      <c r="F4319" s="79">
        <f t="shared" si="334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33"/>
        <v>1943</v>
      </c>
      <c r="E4320" s="4">
        <f>2</f>
        <v>2</v>
      </c>
      <c r="F4320" s="79">
        <f t="shared" si="334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33"/>
        <v>1827</v>
      </c>
      <c r="F4321" s="79">
        <f t="shared" si="334"/>
        <v>13</v>
      </c>
    </row>
    <row r="4322" spans="1:6" x14ac:dyDescent="0.25">
      <c r="A4322" s="61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79">
        <f t="shared" si="334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35">C4323+D4299</f>
        <v>94217</v>
      </c>
      <c r="E4323" s="4">
        <f>5+5+9+8+1</f>
        <v>28</v>
      </c>
      <c r="F4323" s="79">
        <f t="shared" ref="F4323:F4361" si="336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35"/>
        <v>65</v>
      </c>
      <c r="F4324" s="79">
        <f t="shared" si="336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35"/>
        <v>5342</v>
      </c>
      <c r="E4325" s="4">
        <f>1+2</f>
        <v>3</v>
      </c>
      <c r="F4325" s="79">
        <f t="shared" si="336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35"/>
        <v>820</v>
      </c>
      <c r="F4326" s="79">
        <f t="shared" si="336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35"/>
        <v>8134</v>
      </c>
      <c r="E4327" s="4">
        <f>1+3+2</f>
        <v>6</v>
      </c>
      <c r="F4327" s="79">
        <f t="shared" si="336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35"/>
        <v>317</v>
      </c>
      <c r="F4328" s="79">
        <f t="shared" si="336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35"/>
        <v>3171</v>
      </c>
      <c r="E4329" s="4">
        <f>1+5+1</f>
        <v>7</v>
      </c>
      <c r="F4329" s="79">
        <f t="shared" si="336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35"/>
        <v>83</v>
      </c>
      <c r="F4330" s="79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35"/>
        <v>8091</v>
      </c>
      <c r="F4331" s="79">
        <f t="shared" si="336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35"/>
        <v>200</v>
      </c>
      <c r="F4332" s="79">
        <f t="shared" si="336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35"/>
        <v>1417</v>
      </c>
      <c r="F4333" s="79">
        <f t="shared" si="336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35"/>
        <v>6549</v>
      </c>
      <c r="E4334" s="4">
        <f>1+3</f>
        <v>4</v>
      </c>
      <c r="F4334" s="79">
        <f t="shared" si="336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35"/>
        <v>62</v>
      </c>
      <c r="F4335" s="79">
        <f t="shared" si="336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79">
        <f t="shared" si="336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79">
        <f t="shared" si="336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79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37">C4339+D4315</f>
        <v>221</v>
      </c>
      <c r="F4339" s="79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37"/>
        <v>85</v>
      </c>
      <c r="F4340" s="79">
        <f t="shared" si="336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37"/>
        <v>1734</v>
      </c>
      <c r="F4341" s="79">
        <f t="shared" ref="F4341:F4346" si="338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37"/>
        <v>7430</v>
      </c>
      <c r="E4342" s="4">
        <f>1+2</f>
        <v>3</v>
      </c>
      <c r="F4342" s="79">
        <f t="shared" si="338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37"/>
        <v>898</v>
      </c>
      <c r="E4343" s="4">
        <f>1</f>
        <v>1</v>
      </c>
      <c r="F4343" s="79">
        <f t="shared" si="338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37"/>
        <v>1982</v>
      </c>
      <c r="F4344" s="79">
        <f t="shared" si="338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37"/>
        <v>1993</v>
      </c>
      <c r="F4345" s="79">
        <f t="shared" si="338"/>
        <v>13</v>
      </c>
    </row>
    <row r="4346" spans="1:6" x14ac:dyDescent="0.25">
      <c r="A4346" s="61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79">
        <f t="shared" si="338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39">C4347+D4323</f>
        <v>95604</v>
      </c>
      <c r="E4347" s="4">
        <f>2+2+1+18+21+1</f>
        <v>45</v>
      </c>
      <c r="F4347" s="79">
        <f t="shared" si="336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39"/>
        <v>66</v>
      </c>
      <c r="F4348" s="79">
        <f t="shared" si="336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39"/>
        <v>5417</v>
      </c>
      <c r="E4349" s="4">
        <f>2+1+2+1</f>
        <v>6</v>
      </c>
      <c r="F4349" s="79">
        <f t="shared" si="336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39"/>
        <v>899</v>
      </c>
      <c r="F4350" s="79">
        <f t="shared" si="336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39"/>
        <v>8522</v>
      </c>
      <c r="E4351" s="4">
        <f>1+1</f>
        <v>2</v>
      </c>
      <c r="F4351" s="79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39"/>
        <v>311</v>
      </c>
      <c r="F4352" s="79">
        <f t="shared" si="336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39"/>
        <v>3338</v>
      </c>
      <c r="E4353" s="4">
        <f>1+1</f>
        <v>2</v>
      </c>
      <c r="F4353" s="79">
        <f t="shared" si="336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39"/>
        <v>84</v>
      </c>
      <c r="F4354" s="79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39"/>
        <v>8418</v>
      </c>
      <c r="F4355" s="79">
        <f t="shared" si="336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39"/>
        <v>204</v>
      </c>
      <c r="F4356" s="79">
        <f t="shared" si="336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39"/>
        <v>1588</v>
      </c>
      <c r="F4357" s="79">
        <f t="shared" si="336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39"/>
        <v>6830</v>
      </c>
      <c r="E4358" s="4">
        <f>1+1+1</f>
        <v>3</v>
      </c>
      <c r="F4358" s="79">
        <f t="shared" si="336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39"/>
        <v>62</v>
      </c>
      <c r="F4359" s="79">
        <f t="shared" si="336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79">
        <f t="shared" si="336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79">
        <f t="shared" si="336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79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0">C4363+D4339</f>
        <v>223</v>
      </c>
      <c r="F4363" s="79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0"/>
        <v>147</v>
      </c>
      <c r="F4364" s="79">
        <f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0"/>
        <v>1771</v>
      </c>
      <c r="F4365" s="79">
        <f t="shared" ref="F4365:F4370" si="34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0"/>
        <v>7905</v>
      </c>
      <c r="E4366" s="4">
        <f>1+6+3</f>
        <v>10</v>
      </c>
      <c r="F4366" s="79">
        <f t="shared" si="34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0"/>
        <v>938</v>
      </c>
      <c r="E4367" s="4">
        <f>1</f>
        <v>1</v>
      </c>
      <c r="F4367" s="79">
        <f t="shared" si="34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0"/>
        <v>2020</v>
      </c>
      <c r="E4368" s="4">
        <f>1</f>
        <v>1</v>
      </c>
      <c r="F4368" s="79">
        <f t="shared" si="34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0"/>
        <v>2243</v>
      </c>
      <c r="E4369" s="4">
        <f>1</f>
        <v>1</v>
      </c>
      <c r="F4369" s="79">
        <f t="shared" si="341"/>
        <v>14</v>
      </c>
    </row>
    <row r="4370" spans="1:6" x14ac:dyDescent="0.25">
      <c r="A4370" s="61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79">
        <f t="shared" si="34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42">C4371+D4347</f>
        <v>96999</v>
      </c>
      <c r="E4371" s="4">
        <f>7+6+1+19+19</f>
        <v>52</v>
      </c>
      <c r="F4371" s="79">
        <f t="shared" ref="F4371:F4409" si="34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42"/>
        <v>67</v>
      </c>
      <c r="F4372" s="79">
        <f t="shared" si="34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42"/>
        <v>5492</v>
      </c>
      <c r="F4373" s="79">
        <f t="shared" si="34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42"/>
        <v>955</v>
      </c>
      <c r="F4374" s="79">
        <f t="shared" si="34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42"/>
        <v>8914</v>
      </c>
      <c r="E4375" s="4">
        <f>1+1</f>
        <v>2</v>
      </c>
      <c r="F4375" s="79">
        <f t="shared" si="34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42"/>
        <v>314</v>
      </c>
      <c r="F4376" s="79">
        <f t="shared" si="34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42"/>
        <v>3650</v>
      </c>
      <c r="E4377" s="4">
        <f>1+1</f>
        <v>2</v>
      </c>
      <c r="F4377" s="79">
        <f t="shared" si="34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42"/>
        <v>83</v>
      </c>
      <c r="F4378" s="79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42"/>
        <v>8542</v>
      </c>
      <c r="F4379" s="79">
        <f t="shared" si="34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42"/>
        <v>212</v>
      </c>
      <c r="E4380" s="4">
        <f>1</f>
        <v>1</v>
      </c>
      <c r="F4380" s="79">
        <f t="shared" si="34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42"/>
        <v>1628</v>
      </c>
      <c r="E4381" s="4">
        <f>2+6</f>
        <v>8</v>
      </c>
      <c r="F4381" s="79">
        <f t="shared" si="34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42"/>
        <v>7191</v>
      </c>
      <c r="E4382" s="4">
        <f>2+1</f>
        <v>3</v>
      </c>
      <c r="F4382" s="79">
        <f t="shared" si="34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42"/>
        <v>66</v>
      </c>
      <c r="F4383" s="79">
        <f t="shared" si="34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79">
        <f t="shared" si="34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79">
        <f t="shared" si="34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79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44">C4387+D4363</f>
        <v>223</v>
      </c>
      <c r="F4387" s="79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44"/>
        <v>156</v>
      </c>
      <c r="F4388" s="79">
        <f t="shared" si="34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44"/>
        <v>1808</v>
      </c>
      <c r="E4389" s="4">
        <f>1</f>
        <v>1</v>
      </c>
      <c r="F4389" s="79">
        <f t="shared" ref="F4389:F4395" si="34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44"/>
        <v>8582</v>
      </c>
      <c r="E4390" s="4">
        <f>1+1+1+2</f>
        <v>5</v>
      </c>
      <c r="F4390" s="79">
        <f t="shared" si="34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44"/>
        <v>976</v>
      </c>
      <c r="E4391" s="4">
        <f>1+1</f>
        <v>2</v>
      </c>
      <c r="F4391" s="79">
        <f t="shared" si="34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44"/>
        <v>2102</v>
      </c>
      <c r="F4392" s="79">
        <f t="shared" si="34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44"/>
        <v>2479</v>
      </c>
      <c r="F4393" s="79">
        <f t="shared" si="345"/>
        <v>14</v>
      </c>
    </row>
    <row r="4394" spans="1:6" x14ac:dyDescent="0.25">
      <c r="A4394" s="61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79">
        <f t="shared" si="34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46">C4395+D4371</f>
        <v>98345</v>
      </c>
      <c r="E4395" s="4">
        <v>48</v>
      </c>
      <c r="F4395" s="79">
        <f t="shared" si="34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46"/>
        <v>67</v>
      </c>
      <c r="F4396" s="79">
        <f t="shared" si="34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46"/>
        <v>5576</v>
      </c>
      <c r="F4397" s="79">
        <f t="shared" si="34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46"/>
        <v>983</v>
      </c>
      <c r="F4398" s="79">
        <f t="shared" si="34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46"/>
        <v>9394</v>
      </c>
      <c r="E4399" s="4">
        <f>1+1+3</f>
        <v>5</v>
      </c>
      <c r="F4399" s="79">
        <f t="shared" si="34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46"/>
        <v>321</v>
      </c>
      <c r="F4400" s="79">
        <f t="shared" si="34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46"/>
        <v>3838</v>
      </c>
      <c r="E4401" s="4">
        <f>4+1</f>
        <v>5</v>
      </c>
      <c r="F4401" s="79">
        <f t="shared" si="34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46"/>
        <v>84</v>
      </c>
      <c r="F4402" s="79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46"/>
        <v>8860</v>
      </c>
      <c r="E4403" s="4">
        <f>2+3+6</f>
        <v>11</v>
      </c>
      <c r="F4403" s="79">
        <f t="shared" si="34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46"/>
        <v>213</v>
      </c>
      <c r="F4404" s="79">
        <f t="shared" si="34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46"/>
        <v>1695</v>
      </c>
      <c r="F4405" s="79">
        <f t="shared" si="34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46"/>
        <v>7604</v>
      </c>
      <c r="E4406" s="4">
        <f>1+2+1</f>
        <v>4</v>
      </c>
      <c r="F4406" s="79">
        <f t="shared" si="34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46"/>
        <v>64</v>
      </c>
      <c r="F4407" s="79">
        <f t="shared" si="34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79">
        <f t="shared" si="34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79">
        <f t="shared" si="34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79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47">C4411+D4387</f>
        <v>255</v>
      </c>
      <c r="F4411" s="79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47"/>
        <v>177</v>
      </c>
      <c r="F4412" s="79">
        <f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47"/>
        <v>1915</v>
      </c>
      <c r="E4413" s="4">
        <f>1</f>
        <v>1</v>
      </c>
      <c r="F4413" s="79">
        <f t="shared" ref="F4413:F4418" si="348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47"/>
        <v>9329</v>
      </c>
      <c r="E4414" s="4">
        <f>1+3+2</f>
        <v>6</v>
      </c>
      <c r="F4414" s="79">
        <f t="shared" si="348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47"/>
        <v>1031</v>
      </c>
      <c r="F4415" s="79">
        <f t="shared" si="348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47"/>
        <v>2135</v>
      </c>
      <c r="E4416" s="4">
        <f>2</f>
        <v>2</v>
      </c>
      <c r="F4416" s="79">
        <f t="shared" si="348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47"/>
        <v>2803</v>
      </c>
      <c r="F4417" s="79">
        <f t="shared" si="348"/>
        <v>14</v>
      </c>
    </row>
    <row r="4418" spans="1:6" x14ac:dyDescent="0.25">
      <c r="A4418" s="61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79">
        <f t="shared" si="348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49">C4419+D4395</f>
        <v>99756</v>
      </c>
      <c r="E4419" s="4">
        <f>4+10+17</f>
        <v>31</v>
      </c>
      <c r="F4419" s="79">
        <f t="shared" ref="F4419:F4457" si="350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49"/>
        <v>70</v>
      </c>
      <c r="F4420" s="79">
        <f t="shared" si="350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49"/>
        <v>5682</v>
      </c>
      <c r="E4421" s="4">
        <f>1+1+1</f>
        <v>3</v>
      </c>
      <c r="F4421" s="79">
        <f t="shared" si="350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49"/>
        <v>1062</v>
      </c>
      <c r="F4422" s="79">
        <f t="shared" si="350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49"/>
        <v>9843</v>
      </c>
      <c r="E4423" s="4">
        <f>1+5+1</f>
        <v>7</v>
      </c>
      <c r="F4423" s="79">
        <f t="shared" si="350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49"/>
        <v>330</v>
      </c>
      <c r="F4424" s="79">
        <f t="shared" si="350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49"/>
        <v>3947</v>
      </c>
      <c r="F4425" s="79">
        <f t="shared" si="350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49"/>
        <v>88</v>
      </c>
      <c r="F4426" s="79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49"/>
        <v>9217</v>
      </c>
      <c r="E4427" s="4">
        <f>2+1</f>
        <v>3</v>
      </c>
      <c r="F4427" s="79">
        <f t="shared" si="350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49"/>
        <v>214</v>
      </c>
      <c r="E4428" s="4">
        <f>1</f>
        <v>1</v>
      </c>
      <c r="F4428" s="79">
        <f t="shared" si="350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49"/>
        <v>1788</v>
      </c>
      <c r="F4429" s="79">
        <f t="shared" si="350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49"/>
        <v>8148</v>
      </c>
      <c r="E4430" s="4">
        <f>1</f>
        <v>1</v>
      </c>
      <c r="F4430" s="79">
        <f t="shared" si="350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49"/>
        <v>64</v>
      </c>
      <c r="F4431" s="79">
        <f t="shared" si="350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79">
        <f t="shared" si="350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79">
        <f t="shared" si="350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79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51">C4435+D4411</f>
        <v>329</v>
      </c>
      <c r="F4435" s="79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51"/>
        <v>195</v>
      </c>
      <c r="F4436" s="79">
        <f t="shared" si="350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51"/>
        <v>1962</v>
      </c>
      <c r="F4437" s="79">
        <f t="shared" ref="F4437:F4442" si="352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51"/>
        <v>10093</v>
      </c>
      <c r="E4438" s="4">
        <f>3+2</f>
        <v>5</v>
      </c>
      <c r="F4438" s="79">
        <f t="shared" si="352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51"/>
        <v>1095</v>
      </c>
      <c r="F4439" s="79">
        <f t="shared" si="352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51"/>
        <v>2233</v>
      </c>
      <c r="E4440" s="4">
        <f>1</f>
        <v>1</v>
      </c>
      <c r="F4440" s="79">
        <f t="shared" si="352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51"/>
        <v>3075</v>
      </c>
      <c r="F4441" s="79">
        <f t="shared" si="352"/>
        <v>14</v>
      </c>
    </row>
    <row r="4442" spans="1:6" x14ac:dyDescent="0.25">
      <c r="A4442" s="61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79">
        <f t="shared" si="352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53">C4443+D4419</f>
        <v>101034</v>
      </c>
      <c r="E4443" s="4">
        <f>6+4+12+20</f>
        <v>42</v>
      </c>
      <c r="F4443" s="79">
        <f t="shared" si="350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53"/>
        <v>71</v>
      </c>
      <c r="F4444" s="79">
        <f t="shared" si="350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53"/>
        <v>5771</v>
      </c>
      <c r="E4445" s="4">
        <f>1+1</f>
        <v>2</v>
      </c>
      <c r="F4445" s="79">
        <f t="shared" si="350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53"/>
        <v>1101</v>
      </c>
      <c r="F4446" s="79">
        <f t="shared" si="350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53"/>
        <v>10341</v>
      </c>
      <c r="E4447" s="4">
        <f>1+4+2</f>
        <v>7</v>
      </c>
      <c r="F4447" s="79">
        <f t="shared" si="350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53"/>
        <v>333</v>
      </c>
      <c r="F4448" s="79">
        <f t="shared" si="350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53"/>
        <v>4113</v>
      </c>
      <c r="E4449" s="4">
        <v>1</v>
      </c>
      <c r="F4449" s="79">
        <f t="shared" si="350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53"/>
        <v>90</v>
      </c>
      <c r="F4450" s="79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53"/>
        <v>9549</v>
      </c>
      <c r="E4451" s="4">
        <f>4+1</f>
        <v>5</v>
      </c>
      <c r="F4451" s="79">
        <f t="shared" si="350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53"/>
        <v>221</v>
      </c>
      <c r="F4452" s="79">
        <f t="shared" si="350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53"/>
        <v>1887</v>
      </c>
      <c r="F4453" s="79">
        <f t="shared" si="350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53"/>
        <v>8801</v>
      </c>
      <c r="E4454" s="4">
        <f>1+1</f>
        <v>2</v>
      </c>
      <c r="F4454" s="79">
        <f t="shared" si="350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53"/>
        <v>65</v>
      </c>
      <c r="F4455" s="79">
        <f t="shared" si="350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79">
        <f t="shared" si="350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79">
        <f t="shared" si="350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79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54">C4459+D4435</f>
        <v>358</v>
      </c>
      <c r="F4459" s="79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54"/>
        <v>210</v>
      </c>
      <c r="F4460" s="79">
        <f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54"/>
        <v>2029</v>
      </c>
      <c r="E4461" s="4">
        <v>1</v>
      </c>
      <c r="F4461" s="79">
        <f t="shared" ref="F4461:F4466" si="355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54"/>
        <v>10806</v>
      </c>
      <c r="E4462" s="4">
        <f>2+2+2+1</f>
        <v>7</v>
      </c>
      <c r="F4462" s="79">
        <f t="shared" si="355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54"/>
        <v>1152</v>
      </c>
      <c r="F4463" s="79">
        <f t="shared" si="355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54"/>
        <v>2272</v>
      </c>
      <c r="E4464" s="4">
        <f>1+1+1</f>
        <v>3</v>
      </c>
      <c r="F4464" s="79">
        <f t="shared" si="355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54"/>
        <v>3385</v>
      </c>
      <c r="F4465" s="79">
        <f t="shared" si="355"/>
        <v>14</v>
      </c>
    </row>
    <row r="4466" spans="1:10" x14ac:dyDescent="0.25">
      <c r="A4466" s="61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79">
        <f t="shared" si="355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56">C4467+D4443</f>
        <v>102118</v>
      </c>
      <c r="E4467" s="4">
        <f>6+4+3</f>
        <v>13</v>
      </c>
      <c r="F4467" s="79">
        <f t="shared" ref="F4467:F4505" si="357">E4467+F4443</f>
        <v>2372</v>
      </c>
      <c r="J4467" s="88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56"/>
        <v>81</v>
      </c>
      <c r="F4468" s="79">
        <f t="shared" si="357"/>
        <v>0</v>
      </c>
      <c r="J4468" s="88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56"/>
        <v>5912</v>
      </c>
      <c r="E4469" s="4">
        <f>1</f>
        <v>1</v>
      </c>
      <c r="F4469" s="79">
        <f t="shared" si="357"/>
        <v>221</v>
      </c>
      <c r="J4469" s="88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56"/>
        <v>1178</v>
      </c>
      <c r="F4470" s="79">
        <f t="shared" si="357"/>
        <v>7</v>
      </c>
      <c r="J4470" s="88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56"/>
        <v>10765</v>
      </c>
      <c r="E4471" s="4">
        <f>1+4+3</f>
        <v>8</v>
      </c>
      <c r="F4471" s="79">
        <f t="shared" si="357"/>
        <v>154</v>
      </c>
      <c r="J4471" s="88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56"/>
        <v>335</v>
      </c>
      <c r="F4472" s="79">
        <f t="shared" si="357"/>
        <v>5</v>
      </c>
      <c r="J4472" s="88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56"/>
        <v>4201</v>
      </c>
      <c r="E4473" s="4">
        <f>2+1+1</f>
        <v>4</v>
      </c>
      <c r="F4473" s="79">
        <f t="shared" si="357"/>
        <v>59</v>
      </c>
      <c r="J4473" s="88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56"/>
        <v>89</v>
      </c>
      <c r="F4474" s="79">
        <f>E4474+F4450</f>
        <v>1</v>
      </c>
      <c r="J4474" s="88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56"/>
        <v>9875</v>
      </c>
      <c r="F4475" s="79">
        <f t="shared" si="357"/>
        <v>215</v>
      </c>
      <c r="J4475" s="88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56"/>
        <v>230</v>
      </c>
      <c r="F4476" s="79">
        <f t="shared" si="357"/>
        <v>4</v>
      </c>
      <c r="J4476" s="88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56"/>
        <v>1945</v>
      </c>
      <c r="F4477" s="79">
        <f t="shared" si="357"/>
        <v>39</v>
      </c>
      <c r="J4477" s="88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56"/>
        <v>9284</v>
      </c>
      <c r="E4478" s="4">
        <f>1</f>
        <v>1</v>
      </c>
      <c r="F4478" s="79">
        <f t="shared" si="357"/>
        <v>89</v>
      </c>
      <c r="J4478" s="88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56"/>
        <v>65</v>
      </c>
      <c r="F4479" s="79">
        <f t="shared" si="357"/>
        <v>2</v>
      </c>
      <c r="J4479" s="88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79">
        <f t="shared" si="357"/>
        <v>30</v>
      </c>
      <c r="J4480" s="88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79">
        <f t="shared" si="357"/>
        <v>123</v>
      </c>
      <c r="J4481" s="88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79">
        <f>E4482+F4458</f>
        <v>56</v>
      </c>
      <c r="J4482" s="88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58">C4483+D4459</f>
        <v>373</v>
      </c>
      <c r="F4483" s="79">
        <f>E4483+F4459</f>
        <v>0</v>
      </c>
      <c r="J4483" s="88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58"/>
        <v>245</v>
      </c>
      <c r="F4484" s="79">
        <f t="shared" si="357"/>
        <v>0</v>
      </c>
      <c r="J4484" s="88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58"/>
        <v>2167</v>
      </c>
      <c r="F4485" s="79">
        <f t="shared" ref="F4485:F4490" si="359">E4485+F4461</f>
        <v>16</v>
      </c>
      <c r="J4485" s="88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58"/>
        <v>11504</v>
      </c>
      <c r="E4486" s="4">
        <v>6</v>
      </c>
      <c r="F4486" s="79">
        <f t="shared" si="359"/>
        <v>119</v>
      </c>
      <c r="J4486" s="88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58"/>
        <v>1219</v>
      </c>
      <c r="E4487" s="4">
        <f>3</f>
        <v>3</v>
      </c>
      <c r="F4487" s="79">
        <f t="shared" si="359"/>
        <v>16</v>
      </c>
      <c r="J4487" s="88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58"/>
        <v>2296</v>
      </c>
      <c r="E4488" s="4">
        <f>1+1</f>
        <v>2</v>
      </c>
      <c r="F4488" s="79">
        <f t="shared" si="359"/>
        <v>37</v>
      </c>
      <c r="J4488" s="88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58"/>
        <v>3692</v>
      </c>
      <c r="E4489" s="4">
        <f>1</f>
        <v>1</v>
      </c>
      <c r="F4489" s="79">
        <f t="shared" si="359"/>
        <v>15</v>
      </c>
      <c r="J4489" s="88"/>
    </row>
    <row r="4490" spans="1:10" x14ac:dyDescent="0.25">
      <c r="A4490" s="61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79">
        <f t="shared" si="359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60">C4491+D4467</f>
        <v>102920</v>
      </c>
      <c r="E4491" s="4">
        <f>7+3+1</f>
        <v>11</v>
      </c>
      <c r="F4491" s="79">
        <f t="shared" si="357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60"/>
        <v>86</v>
      </c>
      <c r="F4492" s="79">
        <f t="shared" si="357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60"/>
        <v>6014</v>
      </c>
      <c r="E4493" s="4">
        <f>2+1</f>
        <v>3</v>
      </c>
      <c r="F4493" s="79">
        <f t="shared" si="357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60"/>
        <v>1217</v>
      </c>
      <c r="F4494" s="79">
        <f t="shared" si="357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60"/>
        <v>11152</v>
      </c>
      <c r="E4495" s="4">
        <f>1+4</f>
        <v>5</v>
      </c>
      <c r="F4495" s="79">
        <f t="shared" si="357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60"/>
        <v>345</v>
      </c>
      <c r="F4496" s="79">
        <f t="shared" si="357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60"/>
        <v>4293</v>
      </c>
      <c r="E4497" s="4">
        <f>1</f>
        <v>1</v>
      </c>
      <c r="F4497" s="79">
        <f t="shared" si="357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60"/>
        <v>90</v>
      </c>
      <c r="F4498" s="79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60"/>
        <v>10125</v>
      </c>
      <c r="E4499" s="4">
        <f>3+1</f>
        <v>4</v>
      </c>
      <c r="F4499" s="79">
        <f t="shared" si="357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60"/>
        <v>234</v>
      </c>
      <c r="F4500" s="79">
        <f t="shared" si="357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60"/>
        <v>2039</v>
      </c>
      <c r="E4501" s="4">
        <f>2+1</f>
        <v>3</v>
      </c>
      <c r="F4501" s="79">
        <f t="shared" si="357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60"/>
        <v>9697</v>
      </c>
      <c r="E4502" s="4">
        <f>1</f>
        <v>1</v>
      </c>
      <c r="F4502" s="79">
        <f t="shared" si="357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60"/>
        <v>67</v>
      </c>
      <c r="F4503" s="79">
        <f t="shared" si="357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79">
        <f t="shared" si="357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79">
        <f t="shared" si="357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79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61">C4507+D4483</f>
        <v>377</v>
      </c>
      <c r="F4507" s="79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61"/>
        <v>247</v>
      </c>
      <c r="F4508" s="79">
        <f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61"/>
        <v>2288</v>
      </c>
      <c r="F4509" s="79">
        <f t="shared" ref="F4509:F4515" si="362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61"/>
        <v>12119</v>
      </c>
      <c r="E4510" s="4">
        <f>1+4+6</f>
        <v>11</v>
      </c>
      <c r="F4510" s="79">
        <f t="shared" si="362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61"/>
        <v>1295</v>
      </c>
      <c r="E4511" s="4">
        <f>1</f>
        <v>1</v>
      </c>
      <c r="F4511" s="79">
        <f t="shared" si="362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61"/>
        <v>2345</v>
      </c>
      <c r="E4512" s="4">
        <f>1</f>
        <v>1</v>
      </c>
      <c r="F4512" s="79">
        <f t="shared" si="362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61"/>
        <v>3954</v>
      </c>
      <c r="F4513" s="79">
        <f t="shared" si="362"/>
        <v>15</v>
      </c>
    </row>
    <row r="4514" spans="1:6" x14ac:dyDescent="0.25">
      <c r="A4514" s="61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79">
        <f t="shared" si="362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63">C4515+D4491</f>
        <v>104009</v>
      </c>
      <c r="E4515" s="4">
        <f>9+5+27+22</f>
        <v>63</v>
      </c>
      <c r="F4515" s="79">
        <f t="shared" si="362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63"/>
        <v>88</v>
      </c>
      <c r="F4516" s="79">
        <f t="shared" ref="F4516:F4553" si="364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63"/>
        <v>6056</v>
      </c>
      <c r="E4517" s="4">
        <v>1</v>
      </c>
      <c r="F4517" s="79">
        <f t="shared" si="364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63"/>
        <v>1274</v>
      </c>
      <c r="E4518" s="4">
        <v>1</v>
      </c>
      <c r="F4518" s="79">
        <f t="shared" si="364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63"/>
        <v>11608</v>
      </c>
      <c r="E4519" s="4">
        <f>4+1</f>
        <v>5</v>
      </c>
      <c r="F4519" s="79">
        <f t="shared" si="364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63"/>
        <v>386</v>
      </c>
      <c r="F4520" s="79">
        <f t="shared" si="364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63"/>
        <v>4353</v>
      </c>
      <c r="E4521" s="4">
        <f>1+2</f>
        <v>3</v>
      </c>
      <c r="F4521" s="79">
        <f t="shared" si="364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63"/>
        <v>90</v>
      </c>
      <c r="F4522" s="79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63"/>
        <v>10480</v>
      </c>
      <c r="E4523" s="4">
        <f>3+3</f>
        <v>6</v>
      </c>
      <c r="F4523" s="79">
        <f t="shared" si="364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63"/>
        <v>243</v>
      </c>
      <c r="F4524" s="79">
        <f t="shared" si="364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63"/>
        <v>2131</v>
      </c>
      <c r="E4525" s="4">
        <f>6+3</f>
        <v>9</v>
      </c>
      <c r="F4525" s="79">
        <f t="shared" si="364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63"/>
        <v>10320</v>
      </c>
      <c r="E4526" s="4">
        <f>1+1+3+2</f>
        <v>7</v>
      </c>
      <c r="F4526" s="79">
        <f t="shared" si="364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63"/>
        <v>71</v>
      </c>
      <c r="F4527" s="79">
        <f t="shared" si="364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79">
        <f t="shared" si="364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79">
        <f t="shared" si="364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79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65">C4531+D4507</f>
        <v>364</v>
      </c>
      <c r="F4531" s="79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65"/>
        <v>307</v>
      </c>
      <c r="F4532" s="79">
        <f t="shared" si="364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65"/>
        <v>2322</v>
      </c>
      <c r="E4533" s="4">
        <f>1+1+2</f>
        <v>4</v>
      </c>
      <c r="F4533" s="79">
        <f t="shared" ref="F4533:F4538" si="366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65"/>
        <v>12636</v>
      </c>
      <c r="E4534" s="4">
        <f>2+1+5+4</f>
        <v>12</v>
      </c>
      <c r="F4534" s="79">
        <f t="shared" si="366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65"/>
        <v>1343</v>
      </c>
      <c r="E4535" s="4">
        <f>1+1+1</f>
        <v>3</v>
      </c>
      <c r="F4535" s="79">
        <f t="shared" si="366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65"/>
        <v>2400</v>
      </c>
      <c r="F4536" s="79">
        <f t="shared" si="366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65"/>
        <v>4463</v>
      </c>
      <c r="E4537" s="4">
        <f>1</f>
        <v>1</v>
      </c>
      <c r="F4537" s="79">
        <f t="shared" si="366"/>
        <v>16</v>
      </c>
    </row>
    <row r="4538" spans="1:6" x14ac:dyDescent="0.25">
      <c r="A4538" s="61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79">
        <f t="shared" si="366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67">C4539+D4515</f>
        <v>105309</v>
      </c>
      <c r="E4539" s="4">
        <v>31</v>
      </c>
      <c r="F4539" s="79">
        <f t="shared" si="364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67"/>
        <v>96</v>
      </c>
      <c r="F4540" s="79">
        <f t="shared" si="364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67"/>
        <v>6150</v>
      </c>
      <c r="E4541" s="4">
        <f>1+1+1</f>
        <v>3</v>
      </c>
      <c r="F4541" s="79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67"/>
        <v>1322</v>
      </c>
      <c r="F4542" s="79">
        <f t="shared" si="364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67"/>
        <v>11989</v>
      </c>
      <c r="E4543" s="4">
        <f>3+3</f>
        <v>6</v>
      </c>
      <c r="F4543" s="79">
        <f t="shared" si="364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67"/>
        <v>406</v>
      </c>
      <c r="F4544" s="79">
        <f t="shared" si="364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67"/>
        <v>4577</v>
      </c>
      <c r="E4545" s="4">
        <f>1+1+3</f>
        <v>5</v>
      </c>
      <c r="F4545" s="79">
        <f t="shared" si="364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67"/>
        <v>90</v>
      </c>
      <c r="F4546" s="79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67"/>
        <v>10774</v>
      </c>
      <c r="E4547" s="4">
        <f>4+2</f>
        <v>6</v>
      </c>
      <c r="F4547" s="79">
        <f t="shared" si="364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67"/>
        <v>247</v>
      </c>
      <c r="F4548" s="79">
        <f t="shared" si="364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67"/>
        <v>2215</v>
      </c>
      <c r="F4549" s="79">
        <f t="shared" si="364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67"/>
        <v>10836</v>
      </c>
      <c r="E4550" s="4">
        <f>6+5+1+5</f>
        <v>17</v>
      </c>
      <c r="F4550" s="79">
        <f t="shared" si="364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67"/>
        <v>69</v>
      </c>
      <c r="F4551" s="79">
        <f t="shared" si="364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79">
        <f t="shared" si="364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79">
        <f t="shared" si="364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79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68">C4555+D4531</f>
        <v>380</v>
      </c>
      <c r="E4555" s="4">
        <f>5+2</f>
        <v>7</v>
      </c>
      <c r="F4555" s="79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68"/>
        <v>325</v>
      </c>
      <c r="F4556" s="79">
        <f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68"/>
        <v>2398</v>
      </c>
      <c r="F4557" s="79">
        <f t="shared" ref="F4557:F4562" si="369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68"/>
        <v>13612</v>
      </c>
      <c r="E4558" s="4">
        <f>1+2+4</f>
        <v>7</v>
      </c>
      <c r="F4558" s="79">
        <f t="shared" si="369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68"/>
        <v>1389</v>
      </c>
      <c r="E4559" s="4">
        <f>1</f>
        <v>1</v>
      </c>
      <c r="F4559" s="79">
        <f t="shared" si="369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68"/>
        <v>2461</v>
      </c>
      <c r="F4560" s="79">
        <f t="shared" si="369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85">
        <f t="shared" si="368"/>
        <v>4746</v>
      </c>
      <c r="E4561" s="47">
        <f>1</f>
        <v>1</v>
      </c>
      <c r="F4561" s="79">
        <f t="shared" si="369"/>
        <v>17</v>
      </c>
    </row>
    <row r="4562" spans="1:6" x14ac:dyDescent="0.25">
      <c r="A4562" s="64" t="s">
        <v>22</v>
      </c>
      <c r="B4562" s="49">
        <v>44083</v>
      </c>
      <c r="C4562" s="50">
        <v>6266</v>
      </c>
      <c r="D4562" s="131">
        <f>C4562+D4538</f>
        <v>310254</v>
      </c>
      <c r="E4562" s="50">
        <f>16+12+1+70+55</f>
        <v>154</v>
      </c>
      <c r="F4562" s="79">
        <f t="shared" si="369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70">C4563+D4539</f>
        <v>106573</v>
      </c>
      <c r="E4563" s="4">
        <v>48</v>
      </c>
      <c r="F4563" s="129">
        <f t="shared" ref="F4563:F4604" si="371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70"/>
        <v>99</v>
      </c>
      <c r="F4564" s="129">
        <f t="shared" si="371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70"/>
        <v>6290</v>
      </c>
      <c r="E4565" s="4">
        <v>2</v>
      </c>
      <c r="F4565" s="129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70"/>
        <v>1361</v>
      </c>
      <c r="F4566" s="129">
        <f t="shared" si="371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70"/>
        <v>12566</v>
      </c>
      <c r="E4567" s="4">
        <f>5+3</f>
        <v>8</v>
      </c>
      <c r="F4567" s="129">
        <f t="shared" si="371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70"/>
        <v>431</v>
      </c>
      <c r="F4568" s="129">
        <f t="shared" si="371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70"/>
        <v>4707</v>
      </c>
      <c r="E4569" s="4">
        <v>1</v>
      </c>
      <c r="F4569" s="129">
        <f t="shared" si="371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70"/>
        <v>91</v>
      </c>
      <c r="F4570" s="79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70"/>
        <v>11117</v>
      </c>
      <c r="E4571" s="4">
        <f>3+3</f>
        <v>6</v>
      </c>
      <c r="F4571" s="129">
        <f t="shared" si="371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70"/>
        <v>267</v>
      </c>
      <c r="F4572" s="129">
        <f t="shared" si="371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70"/>
        <v>2360</v>
      </c>
      <c r="E4573" s="4">
        <v>1</v>
      </c>
      <c r="F4573" s="129">
        <f t="shared" si="371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70"/>
        <v>11634</v>
      </c>
      <c r="E4574" s="4">
        <f>5+4+2</f>
        <v>11</v>
      </c>
      <c r="F4574" s="129">
        <f t="shared" si="371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70"/>
        <v>71</v>
      </c>
      <c r="F4575" s="129">
        <f t="shared" si="371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29">
        <f t="shared" si="371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29">
        <f t="shared" si="371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29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72">C4579+D4555</f>
        <v>384</v>
      </c>
      <c r="F4579" s="79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72"/>
        <v>346</v>
      </c>
      <c r="F4580" s="129">
        <f t="shared" si="371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72"/>
        <v>2540</v>
      </c>
      <c r="E4581" s="4">
        <f>1</f>
        <v>1</v>
      </c>
      <c r="F4581" s="79">
        <f t="shared" ref="F4581:F4588" si="373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72"/>
        <v>14701</v>
      </c>
      <c r="E4582" s="4">
        <f>1+2+4</f>
        <v>7</v>
      </c>
      <c r="F4582" s="79">
        <f t="shared" si="373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72"/>
        <v>1470</v>
      </c>
      <c r="E4583" s="4">
        <f>1</f>
        <v>1</v>
      </c>
      <c r="F4583" s="79">
        <f t="shared" si="373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72"/>
        <v>2530</v>
      </c>
      <c r="E4584" s="4">
        <f>1</f>
        <v>1</v>
      </c>
      <c r="F4584" s="79">
        <f t="shared" si="373"/>
        <v>39</v>
      </c>
    </row>
    <row r="4585" spans="1:6" ht="15.75" thickBot="1" x14ac:dyDescent="0.3">
      <c r="A4585" s="96" t="s">
        <v>47</v>
      </c>
      <c r="B4585" s="46">
        <v>44083</v>
      </c>
      <c r="C4585" s="47">
        <v>390</v>
      </c>
      <c r="D4585" s="85">
        <f t="shared" si="372"/>
        <v>5136</v>
      </c>
      <c r="E4585" s="47"/>
      <c r="F4585" s="79">
        <f t="shared" si="373"/>
        <v>17</v>
      </c>
    </row>
    <row r="4586" spans="1:6" x14ac:dyDescent="0.25">
      <c r="A4586" s="64" t="s">
        <v>22</v>
      </c>
      <c r="B4586" s="49">
        <v>44084</v>
      </c>
      <c r="C4586" s="97">
        <v>6252</v>
      </c>
      <c r="D4586" s="131">
        <f>C4586+D4562</f>
        <v>316506</v>
      </c>
      <c r="E4586" s="50">
        <f>29+9+62+41</f>
        <v>141</v>
      </c>
      <c r="F4586" s="79">
        <f t="shared" si="373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74">C4587+D4563</f>
        <v>107857</v>
      </c>
      <c r="E4587" s="4">
        <v>35</v>
      </c>
      <c r="F4587" s="129">
        <f t="shared" si="373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74"/>
        <v>111</v>
      </c>
      <c r="F4588" s="129">
        <f t="shared" si="373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74"/>
        <v>6418</v>
      </c>
      <c r="E4589" s="4">
        <f>1</f>
        <v>1</v>
      </c>
      <c r="F4589" s="129">
        <f t="shared" si="371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74"/>
        <v>1390</v>
      </c>
      <c r="F4590" s="129">
        <f t="shared" si="371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74"/>
        <v>13009</v>
      </c>
      <c r="E4591" s="4">
        <f>3+2</f>
        <v>5</v>
      </c>
      <c r="F4591" s="129">
        <f t="shared" si="371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74"/>
        <v>491</v>
      </c>
      <c r="F4592" s="129">
        <f t="shared" si="371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74"/>
        <v>4844</v>
      </c>
      <c r="E4593" s="4">
        <f>4+4</f>
        <v>8</v>
      </c>
      <c r="F4593" s="129">
        <f t="shared" si="371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74"/>
        <v>92</v>
      </c>
      <c r="F4594" s="79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74"/>
        <v>11397</v>
      </c>
      <c r="E4595" s="4">
        <f>4+2</f>
        <v>6</v>
      </c>
      <c r="F4595" s="129">
        <f t="shared" si="371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74"/>
        <v>294</v>
      </c>
      <c r="F4596" s="129">
        <f t="shared" si="371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74"/>
        <v>2503</v>
      </c>
      <c r="E4597" s="4">
        <f>1+1</f>
        <v>2</v>
      </c>
      <c r="F4597" s="129">
        <f t="shared" si="371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74"/>
        <v>12365</v>
      </c>
      <c r="E4598" s="4">
        <f>5+3+5</f>
        <v>13</v>
      </c>
      <c r="F4598" s="129">
        <f t="shared" si="371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74"/>
        <v>65</v>
      </c>
      <c r="F4599" s="129">
        <f t="shared" si="371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29">
        <f t="shared" si="371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29">
        <f t="shared" si="371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29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75">C4603+D4579</f>
        <v>385</v>
      </c>
      <c r="F4603" s="79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75"/>
        <v>356</v>
      </c>
      <c r="F4604" s="129">
        <f t="shared" si="371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75"/>
        <v>2626</v>
      </c>
      <c r="F4605" s="79">
        <f t="shared" ref="F4605:F4612" si="376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75"/>
        <v>15743</v>
      </c>
      <c r="E4606" s="4">
        <f>5+2+7+7</f>
        <v>21</v>
      </c>
      <c r="F4606" s="79">
        <f t="shared" si="376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75"/>
        <v>1558</v>
      </c>
      <c r="E4607" s="4">
        <f>1+2</f>
        <v>3</v>
      </c>
      <c r="F4607" s="79">
        <f t="shared" si="376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75"/>
        <v>2592</v>
      </c>
      <c r="E4608" s="4">
        <f>1</f>
        <v>1</v>
      </c>
      <c r="F4608" s="79">
        <f t="shared" si="376"/>
        <v>40</v>
      </c>
    </row>
    <row r="4609" spans="1:7" ht="15.75" thickBot="1" x14ac:dyDescent="0.3">
      <c r="A4609" s="52" t="s">
        <v>47</v>
      </c>
      <c r="B4609" s="53">
        <v>44084</v>
      </c>
      <c r="C4609" s="98">
        <v>283</v>
      </c>
      <c r="D4609" s="132">
        <f t="shared" si="375"/>
        <v>5419</v>
      </c>
      <c r="E4609" s="54"/>
      <c r="F4609" s="79">
        <f t="shared" si="376"/>
        <v>17</v>
      </c>
    </row>
    <row r="4610" spans="1:7" ht="15.75" thickBot="1" x14ac:dyDescent="0.3">
      <c r="A4610" s="64" t="s">
        <v>22</v>
      </c>
      <c r="B4610" s="53">
        <v>44085</v>
      </c>
      <c r="C4610" s="48">
        <v>5732</v>
      </c>
      <c r="D4610" s="131">
        <f>C4610+D4586</f>
        <v>322238</v>
      </c>
      <c r="E4610" s="48">
        <v>128</v>
      </c>
      <c r="F4610" s="79">
        <f t="shared" si="376"/>
        <v>6757</v>
      </c>
      <c r="G4610" s="127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77">C4611+D4587</f>
        <v>109072</v>
      </c>
      <c r="E4611" s="4">
        <f>19+18+9+13</f>
        <v>59</v>
      </c>
      <c r="F4611" s="129">
        <f t="shared" si="376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77"/>
        <v>114</v>
      </c>
      <c r="F4612" s="129">
        <f t="shared" si="376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77"/>
        <v>6543</v>
      </c>
      <c r="E4613" s="4">
        <f>1+1</f>
        <v>2</v>
      </c>
      <c r="F4613" s="129">
        <f t="shared" ref="F4613:F4631" si="378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77"/>
        <v>1480</v>
      </c>
      <c r="E4614" s="4">
        <v>2</v>
      </c>
      <c r="F4614" s="129">
        <f t="shared" si="378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77"/>
        <v>13396</v>
      </c>
      <c r="E4615" s="4">
        <f>3+3</f>
        <v>6</v>
      </c>
      <c r="F4615" s="129">
        <f t="shared" si="378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77"/>
        <v>603</v>
      </c>
      <c r="E4616" s="4">
        <f>1</f>
        <v>1</v>
      </c>
      <c r="F4616" s="129">
        <f t="shared" si="378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77"/>
        <v>4995</v>
      </c>
      <c r="E4617" s="4">
        <v>11</v>
      </c>
      <c r="F4617" s="129">
        <f t="shared" si="378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77"/>
        <v>96</v>
      </c>
      <c r="F4618" s="79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77"/>
        <v>11699</v>
      </c>
      <c r="E4619" s="4">
        <f>1</f>
        <v>1</v>
      </c>
      <c r="F4619" s="129">
        <f t="shared" si="378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77"/>
        <v>321</v>
      </c>
      <c r="F4620" s="129">
        <f t="shared" si="378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77"/>
        <v>2665</v>
      </c>
      <c r="F4621" s="129">
        <f t="shared" si="378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77"/>
        <v>13060</v>
      </c>
      <c r="E4622" s="4">
        <f>1+2+3+2</f>
        <v>8</v>
      </c>
      <c r="F4622" s="129">
        <f t="shared" si="378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77"/>
        <v>65</v>
      </c>
      <c r="F4623" s="129">
        <f t="shared" si="378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29">
        <f t="shared" si="378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29">
        <f t="shared" si="378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29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79">C4627+D4603</f>
        <v>399</v>
      </c>
      <c r="F4627" s="79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79"/>
        <v>379</v>
      </c>
      <c r="F4628" s="129">
        <f t="shared" si="378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79"/>
        <v>2762</v>
      </c>
      <c r="F4629" s="79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79"/>
        <v>16673</v>
      </c>
      <c r="E4630" s="4">
        <f>2+4+4</f>
        <v>10</v>
      </c>
      <c r="F4630" s="79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79"/>
        <v>1641</v>
      </c>
      <c r="F4631" s="129">
        <f t="shared" si="378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79"/>
        <v>2635</v>
      </c>
      <c r="E4632" s="4">
        <f>1</f>
        <v>1</v>
      </c>
      <c r="F4632" s="129">
        <f>E4632+F4608</f>
        <v>41</v>
      </c>
    </row>
    <row r="4633" spans="1:6" ht="15.75" thickBot="1" x14ac:dyDescent="0.3">
      <c r="A4633" s="96" t="s">
        <v>47</v>
      </c>
      <c r="B4633" s="46">
        <v>44085</v>
      </c>
      <c r="C4633" s="47">
        <v>472</v>
      </c>
      <c r="D4633" s="85">
        <f t="shared" si="379"/>
        <v>5891</v>
      </c>
      <c r="E4633" s="47">
        <f>1</f>
        <v>1</v>
      </c>
      <c r="F4633" s="134">
        <f>E4633+F4609</f>
        <v>18</v>
      </c>
    </row>
    <row r="4634" spans="1:6" x14ac:dyDescent="0.25">
      <c r="A4634" s="64" t="s">
        <v>22</v>
      </c>
      <c r="B4634" s="49">
        <v>44086</v>
      </c>
      <c r="C4634" s="50">
        <v>5862</v>
      </c>
      <c r="D4634" s="131">
        <f>C4634+D4610</f>
        <v>328100</v>
      </c>
      <c r="E4634" s="50">
        <f>15+15+18+6</f>
        <v>54</v>
      </c>
      <c r="F4634" s="128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80">C4635+D4611</f>
        <v>110057</v>
      </c>
      <c r="E4635" s="4">
        <f>9+5+5+4</f>
        <v>23</v>
      </c>
      <c r="F4635" s="129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80"/>
        <v>120</v>
      </c>
      <c r="F4636" s="129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80"/>
        <v>6660</v>
      </c>
      <c r="E4637" s="4">
        <f>2+1</f>
        <v>3</v>
      </c>
      <c r="F4637" s="129">
        <f t="shared" ref="F4637:F4655" si="381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80"/>
        <v>1645</v>
      </c>
      <c r="E4638" s="4">
        <f>2+2</f>
        <v>4</v>
      </c>
      <c r="F4638" s="129">
        <f t="shared" si="381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80"/>
        <v>13887</v>
      </c>
      <c r="E4639" s="4">
        <f>4</f>
        <v>4</v>
      </c>
      <c r="F4639" s="129">
        <f t="shared" si="381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80"/>
        <v>659</v>
      </c>
      <c r="F4640" s="129">
        <f t="shared" si="381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80"/>
        <v>5133</v>
      </c>
      <c r="F4641" s="129">
        <f t="shared" si="381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80"/>
        <v>95</v>
      </c>
      <c r="F4642" s="129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80"/>
        <v>11953</v>
      </c>
      <c r="E4643" s="4">
        <f>4+2</f>
        <v>6</v>
      </c>
      <c r="F4643" s="129">
        <f t="shared" si="381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80"/>
        <v>351</v>
      </c>
      <c r="F4644" s="129">
        <f t="shared" si="381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80"/>
        <v>2712</v>
      </c>
      <c r="F4645" s="129">
        <f t="shared" si="381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80"/>
        <v>13778</v>
      </c>
      <c r="E4646" s="4">
        <f>2</f>
        <v>2</v>
      </c>
      <c r="F4646" s="129">
        <f t="shared" si="381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80"/>
        <v>68</v>
      </c>
      <c r="F4647" s="129">
        <f t="shared" si="381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29">
        <f t="shared" si="381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29">
        <f t="shared" si="381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29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82">C4651+D4627</f>
        <v>422</v>
      </c>
      <c r="E4651" s="4">
        <f>2+3</f>
        <v>5</v>
      </c>
      <c r="F4651" s="129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82"/>
        <v>382</v>
      </c>
      <c r="F4652" s="129">
        <f t="shared" si="381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82"/>
        <v>2876</v>
      </c>
      <c r="F4653" s="129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82"/>
        <v>17562</v>
      </c>
      <c r="E4654" s="4">
        <f>2+3+2</f>
        <v>7</v>
      </c>
      <c r="F4654" s="129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82"/>
        <v>1753</v>
      </c>
      <c r="F4655" s="129">
        <f t="shared" si="381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82"/>
        <v>2683</v>
      </c>
      <c r="E4656" s="4">
        <f>1+1+1</f>
        <v>3</v>
      </c>
      <c r="F4656" s="129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32">
        <f t="shared" si="382"/>
        <v>6045</v>
      </c>
      <c r="E4657" s="54">
        <f>1</f>
        <v>1</v>
      </c>
      <c r="F4657" s="130">
        <f>E4657+F4633</f>
        <v>19</v>
      </c>
    </row>
    <row r="4658" spans="1:6" x14ac:dyDescent="0.25">
      <c r="A4658" s="64" t="s">
        <v>22</v>
      </c>
      <c r="B4658" s="136">
        <v>44087</v>
      </c>
      <c r="C4658" s="48">
        <v>3689</v>
      </c>
      <c r="D4658" s="131">
        <f>C4658+D4634</f>
        <v>331789</v>
      </c>
      <c r="E4658" s="48">
        <f>11+3+11+13</f>
        <v>38</v>
      </c>
      <c r="F4658" s="128">
        <f>E4658+F4634</f>
        <v>6849</v>
      </c>
    </row>
    <row r="4659" spans="1:6" x14ac:dyDescent="0.25">
      <c r="A4659" s="51" t="s">
        <v>20</v>
      </c>
      <c r="B4659" s="136">
        <v>44087</v>
      </c>
      <c r="C4659" s="4">
        <v>843</v>
      </c>
      <c r="D4659" s="29">
        <f t="shared" ref="D4659:D4671" si="383">C4659+D4635</f>
        <v>110900</v>
      </c>
      <c r="E4659" s="4">
        <f>6+7+4+2</f>
        <v>19</v>
      </c>
      <c r="F4659" s="129">
        <f>E4659+F4635</f>
        <v>2661</v>
      </c>
    </row>
    <row r="4660" spans="1:6" x14ac:dyDescent="0.25">
      <c r="A4660" s="51" t="s">
        <v>35</v>
      </c>
      <c r="B4660" s="136">
        <v>44087</v>
      </c>
      <c r="C4660" s="4">
        <v>4</v>
      </c>
      <c r="D4660" s="29">
        <f t="shared" si="383"/>
        <v>124</v>
      </c>
      <c r="F4660" s="129">
        <f>E4660+F4636</f>
        <v>0</v>
      </c>
    </row>
    <row r="4661" spans="1:6" x14ac:dyDescent="0.25">
      <c r="A4661" s="51" t="s">
        <v>21</v>
      </c>
      <c r="B4661" s="136">
        <v>44087</v>
      </c>
      <c r="C4661" s="4">
        <v>91</v>
      </c>
      <c r="D4661" s="29">
        <f t="shared" si="383"/>
        <v>6751</v>
      </c>
      <c r="E4661" s="4">
        <f>2</f>
        <v>2</v>
      </c>
      <c r="F4661" s="129">
        <f t="shared" ref="F4661:F4679" si="384">E4661+F4637</f>
        <v>238</v>
      </c>
    </row>
    <row r="4662" spans="1:6" x14ac:dyDescent="0.25">
      <c r="A4662" s="51" t="s">
        <v>36</v>
      </c>
      <c r="B4662" s="136">
        <v>44087</v>
      </c>
      <c r="C4662" s="4">
        <v>73</v>
      </c>
      <c r="D4662" s="29">
        <f t="shared" si="383"/>
        <v>1718</v>
      </c>
      <c r="F4662" s="129">
        <f t="shared" si="384"/>
        <v>14</v>
      </c>
    </row>
    <row r="4663" spans="1:6" x14ac:dyDescent="0.25">
      <c r="A4663" s="51" t="s">
        <v>27</v>
      </c>
      <c r="B4663" s="136">
        <v>44087</v>
      </c>
      <c r="C4663" s="4">
        <v>552</v>
      </c>
      <c r="D4663" s="29">
        <f t="shared" si="383"/>
        <v>14439</v>
      </c>
      <c r="E4663" s="4">
        <f>3+1</f>
        <v>4</v>
      </c>
      <c r="F4663" s="129">
        <f t="shared" si="384"/>
        <v>197</v>
      </c>
    </row>
    <row r="4664" spans="1:6" x14ac:dyDescent="0.25">
      <c r="A4664" s="51" t="s">
        <v>37</v>
      </c>
      <c r="B4664" s="136">
        <v>44087</v>
      </c>
      <c r="C4664" s="4">
        <v>1</v>
      </c>
      <c r="D4664" s="29">
        <f t="shared" si="383"/>
        <v>660</v>
      </c>
      <c r="F4664" s="129">
        <f t="shared" si="384"/>
        <v>6</v>
      </c>
    </row>
    <row r="4665" spans="1:6" x14ac:dyDescent="0.25">
      <c r="A4665" s="51" t="s">
        <v>38</v>
      </c>
      <c r="B4665" s="136">
        <v>44087</v>
      </c>
      <c r="C4665" s="4">
        <v>105</v>
      </c>
      <c r="D4665" s="29">
        <f t="shared" si="383"/>
        <v>5238</v>
      </c>
      <c r="E4665" s="4">
        <f>1</f>
        <v>1</v>
      </c>
      <c r="F4665" s="129">
        <f t="shared" si="384"/>
        <v>89</v>
      </c>
    </row>
    <row r="4666" spans="1:6" x14ac:dyDescent="0.25">
      <c r="A4666" s="51" t="s">
        <v>48</v>
      </c>
      <c r="B4666" s="136">
        <v>44087</v>
      </c>
      <c r="C4666" s="4">
        <v>-1</v>
      </c>
      <c r="D4666" s="29">
        <f t="shared" si="383"/>
        <v>94</v>
      </c>
      <c r="F4666" s="129">
        <f>E4666+F4642</f>
        <v>1</v>
      </c>
    </row>
    <row r="4667" spans="1:6" x14ac:dyDescent="0.25">
      <c r="A4667" s="51" t="s">
        <v>39</v>
      </c>
      <c r="B4667" s="136">
        <v>44087</v>
      </c>
      <c r="C4667" s="4">
        <v>169</v>
      </c>
      <c r="D4667" s="29">
        <f t="shared" si="383"/>
        <v>12122</v>
      </c>
      <c r="E4667" s="4">
        <f>3+2+1</f>
        <v>6</v>
      </c>
      <c r="F4667" s="129">
        <f t="shared" si="384"/>
        <v>256</v>
      </c>
    </row>
    <row r="4668" spans="1:6" x14ac:dyDescent="0.25">
      <c r="A4668" s="51" t="s">
        <v>40</v>
      </c>
      <c r="B4668" s="136">
        <v>44087</v>
      </c>
      <c r="C4668" s="4">
        <v>46</v>
      </c>
      <c r="D4668" s="29">
        <f t="shared" si="383"/>
        <v>397</v>
      </c>
      <c r="F4668" s="129">
        <f t="shared" si="384"/>
        <v>4</v>
      </c>
    </row>
    <row r="4669" spans="1:6" x14ac:dyDescent="0.25">
      <c r="A4669" s="51" t="s">
        <v>28</v>
      </c>
      <c r="B4669" s="136">
        <v>44087</v>
      </c>
      <c r="C4669" s="4">
        <v>96</v>
      </c>
      <c r="D4669" s="29">
        <f t="shared" si="383"/>
        <v>2808</v>
      </c>
      <c r="E4669" s="4">
        <f>1+3</f>
        <v>4</v>
      </c>
      <c r="F4669" s="129">
        <f t="shared" si="384"/>
        <v>58</v>
      </c>
    </row>
    <row r="4670" spans="1:6" x14ac:dyDescent="0.25">
      <c r="A4670" s="51" t="s">
        <v>24</v>
      </c>
      <c r="B4670" s="136">
        <v>44087</v>
      </c>
      <c r="C4670" s="4">
        <v>704</v>
      </c>
      <c r="D4670" s="29">
        <f t="shared" si="383"/>
        <v>14482</v>
      </c>
      <c r="E4670" s="4">
        <f>2</f>
        <v>2</v>
      </c>
      <c r="F4670" s="129">
        <f t="shared" si="384"/>
        <v>150</v>
      </c>
    </row>
    <row r="4671" spans="1:6" x14ac:dyDescent="0.25">
      <c r="A4671" s="51" t="s">
        <v>30</v>
      </c>
      <c r="B4671" s="136">
        <v>44087</v>
      </c>
      <c r="C4671" s="4">
        <v>0</v>
      </c>
      <c r="D4671" s="29">
        <f t="shared" si="383"/>
        <v>68</v>
      </c>
      <c r="F4671" s="129">
        <f t="shared" si="384"/>
        <v>2</v>
      </c>
    </row>
    <row r="4672" spans="1:6" x14ac:dyDescent="0.25">
      <c r="A4672" s="51" t="s">
        <v>26</v>
      </c>
      <c r="B4672" s="136">
        <v>44087</v>
      </c>
      <c r="C4672" s="4">
        <v>286</v>
      </c>
      <c r="D4672" s="29">
        <f>C4672+D4648</f>
        <v>4812</v>
      </c>
      <c r="E4672" s="4">
        <f>2+1+1</f>
        <v>4</v>
      </c>
      <c r="F4672" s="129">
        <f t="shared" si="384"/>
        <v>50</v>
      </c>
    </row>
    <row r="4673" spans="1:6" x14ac:dyDescent="0.25">
      <c r="A4673" s="51" t="s">
        <v>25</v>
      </c>
      <c r="B4673" s="136">
        <v>44087</v>
      </c>
      <c r="C4673" s="4">
        <v>130</v>
      </c>
      <c r="D4673" s="29">
        <f>C4673+D4649</f>
        <v>8719</v>
      </c>
      <c r="E4673" s="4">
        <f>2</f>
        <v>2</v>
      </c>
      <c r="F4673" s="129">
        <f t="shared" si="384"/>
        <v>153</v>
      </c>
    </row>
    <row r="4674" spans="1:6" x14ac:dyDescent="0.25">
      <c r="A4674" s="51" t="s">
        <v>41</v>
      </c>
      <c r="B4674" s="136">
        <v>44087</v>
      </c>
      <c r="C4674" s="4">
        <v>340</v>
      </c>
      <c r="D4674" s="29">
        <f>C4674+D4650</f>
        <v>6765</v>
      </c>
      <c r="E4674" s="4">
        <f>1+1</f>
        <v>2</v>
      </c>
      <c r="F4674" s="129">
        <f>E4674+F4650</f>
        <v>89</v>
      </c>
    </row>
    <row r="4675" spans="1:6" x14ac:dyDescent="0.25">
      <c r="A4675" s="51" t="s">
        <v>42</v>
      </c>
      <c r="B4675" s="136">
        <v>44087</v>
      </c>
      <c r="C4675" s="4">
        <v>-5</v>
      </c>
      <c r="D4675" s="29">
        <f t="shared" ref="D4675:D4681" si="385">C4675+D4651</f>
        <v>417</v>
      </c>
      <c r="F4675" s="129">
        <f>E4675+F4651</f>
        <v>12</v>
      </c>
    </row>
    <row r="4676" spans="1:6" x14ac:dyDescent="0.25">
      <c r="A4676" s="51" t="s">
        <v>43</v>
      </c>
      <c r="B4676" s="136">
        <v>44087</v>
      </c>
      <c r="C4676" s="4">
        <v>1</v>
      </c>
      <c r="D4676" s="29">
        <f t="shared" si="385"/>
        <v>383</v>
      </c>
      <c r="F4676" s="129">
        <f t="shared" si="384"/>
        <v>0</v>
      </c>
    </row>
    <row r="4677" spans="1:6" x14ac:dyDescent="0.25">
      <c r="A4677" s="51" t="s">
        <v>44</v>
      </c>
      <c r="B4677" s="136">
        <v>44087</v>
      </c>
      <c r="C4677" s="4">
        <v>193</v>
      </c>
      <c r="D4677" s="29">
        <f t="shared" si="385"/>
        <v>3069</v>
      </c>
      <c r="F4677" s="129">
        <f>E4677+F4653</f>
        <v>21</v>
      </c>
    </row>
    <row r="4678" spans="1:6" x14ac:dyDescent="0.25">
      <c r="A4678" s="51" t="s">
        <v>29</v>
      </c>
      <c r="B4678" s="136">
        <v>44087</v>
      </c>
      <c r="C4678" s="4">
        <v>1055</v>
      </c>
      <c r="D4678" s="29">
        <f t="shared" si="385"/>
        <v>18617</v>
      </c>
      <c r="E4678" s="4">
        <f>1+1</f>
        <v>2</v>
      </c>
      <c r="F4678" s="129">
        <f>E4678+F4654</f>
        <v>196</v>
      </c>
    </row>
    <row r="4679" spans="1:6" x14ac:dyDescent="0.25">
      <c r="A4679" s="51" t="s">
        <v>45</v>
      </c>
      <c r="B4679" s="136">
        <v>44087</v>
      </c>
      <c r="C4679" s="4">
        <v>79</v>
      </c>
      <c r="D4679" s="29">
        <f t="shared" si="385"/>
        <v>1832</v>
      </c>
      <c r="E4679" s="4">
        <f>1</f>
        <v>1</v>
      </c>
      <c r="F4679" s="129">
        <f t="shared" si="384"/>
        <v>26</v>
      </c>
    </row>
    <row r="4680" spans="1:6" x14ac:dyDescent="0.25">
      <c r="A4680" s="51" t="s">
        <v>46</v>
      </c>
      <c r="B4680" s="136">
        <v>44087</v>
      </c>
      <c r="C4680" s="4">
        <v>22</v>
      </c>
      <c r="D4680" s="29">
        <f t="shared" si="385"/>
        <v>2705</v>
      </c>
      <c r="E4680" s="4">
        <f>1</f>
        <v>1</v>
      </c>
      <c r="F4680" s="129">
        <f>E4680+F4656</f>
        <v>45</v>
      </c>
    </row>
    <row r="4681" spans="1:6" ht="15.75" thickBot="1" x14ac:dyDescent="0.3">
      <c r="A4681" s="52" t="s">
        <v>47</v>
      </c>
      <c r="B4681" s="136">
        <v>44087</v>
      </c>
      <c r="C4681" s="4">
        <v>583</v>
      </c>
      <c r="D4681" s="132">
        <f t="shared" si="385"/>
        <v>6628</v>
      </c>
      <c r="F4681" s="130">
        <f>E4681+F4657</f>
        <v>19</v>
      </c>
    </row>
    <row r="4682" spans="1:6" x14ac:dyDescent="0.25">
      <c r="A4682" s="64" t="s">
        <v>22</v>
      </c>
      <c r="B4682" s="136">
        <v>44088</v>
      </c>
      <c r="C4682" s="4">
        <v>4863</v>
      </c>
      <c r="D4682" s="131">
        <f>C4682+D4658</f>
        <v>336652</v>
      </c>
      <c r="E4682" s="4">
        <f>7+4+96+51</f>
        <v>158</v>
      </c>
      <c r="F4682" s="128">
        <f>E4682+F4658</f>
        <v>7007</v>
      </c>
    </row>
    <row r="4683" spans="1:6" x14ac:dyDescent="0.25">
      <c r="A4683" s="51" t="s">
        <v>20</v>
      </c>
      <c r="B4683" s="136">
        <v>44088</v>
      </c>
      <c r="C4683" s="4">
        <v>946</v>
      </c>
      <c r="D4683" s="29">
        <f t="shared" ref="D4683:D4695" si="386">C4683+D4659</f>
        <v>111846</v>
      </c>
      <c r="E4683" s="4">
        <f>5+9+25+14</f>
        <v>53</v>
      </c>
      <c r="F4683" s="129">
        <f>E4683+F4659</f>
        <v>2714</v>
      </c>
    </row>
    <row r="4684" spans="1:6" x14ac:dyDescent="0.25">
      <c r="A4684" s="51" t="s">
        <v>35</v>
      </c>
      <c r="B4684" s="136">
        <v>44088</v>
      </c>
      <c r="C4684" s="4">
        <v>5</v>
      </c>
      <c r="D4684" s="29">
        <f t="shared" si="386"/>
        <v>129</v>
      </c>
      <c r="F4684" s="129">
        <f>E4684+F4660</f>
        <v>0</v>
      </c>
    </row>
    <row r="4685" spans="1:6" x14ac:dyDescent="0.25">
      <c r="A4685" s="51" t="s">
        <v>21</v>
      </c>
      <c r="B4685" s="136">
        <v>44088</v>
      </c>
      <c r="C4685" s="4">
        <v>41</v>
      </c>
      <c r="D4685" s="29">
        <f t="shared" si="386"/>
        <v>6792</v>
      </c>
      <c r="E4685" s="4">
        <f>1+2</f>
        <v>3</v>
      </c>
      <c r="F4685" s="129">
        <f t="shared" ref="F4685:F4703" si="387">E4685+F4661</f>
        <v>241</v>
      </c>
    </row>
    <row r="4686" spans="1:6" x14ac:dyDescent="0.25">
      <c r="A4686" s="51" t="s">
        <v>36</v>
      </c>
      <c r="B4686" s="136">
        <v>44088</v>
      </c>
      <c r="C4686" s="4">
        <v>39</v>
      </c>
      <c r="D4686" s="29">
        <f t="shared" si="386"/>
        <v>1757</v>
      </c>
      <c r="E4686" s="4">
        <f>4+2</f>
        <v>6</v>
      </c>
      <c r="F4686" s="129">
        <f t="shared" si="387"/>
        <v>20</v>
      </c>
    </row>
    <row r="4687" spans="1:6" x14ac:dyDescent="0.25">
      <c r="A4687" s="51" t="s">
        <v>27</v>
      </c>
      <c r="B4687" s="136">
        <v>44088</v>
      </c>
      <c r="C4687" s="4">
        <v>535</v>
      </c>
      <c r="D4687" s="29">
        <f t="shared" si="386"/>
        <v>14974</v>
      </c>
      <c r="E4687" s="4">
        <f>4+3</f>
        <v>7</v>
      </c>
      <c r="F4687" s="129">
        <f t="shared" si="387"/>
        <v>204</v>
      </c>
    </row>
    <row r="4688" spans="1:6" x14ac:dyDescent="0.25">
      <c r="A4688" s="51" t="s">
        <v>37</v>
      </c>
      <c r="B4688" s="136">
        <v>44088</v>
      </c>
      <c r="C4688" s="4">
        <v>58</v>
      </c>
      <c r="D4688" s="29">
        <f t="shared" si="386"/>
        <v>718</v>
      </c>
      <c r="F4688" s="129">
        <f t="shared" si="387"/>
        <v>6</v>
      </c>
    </row>
    <row r="4689" spans="1:6" x14ac:dyDescent="0.25">
      <c r="A4689" s="51" t="s">
        <v>38</v>
      </c>
      <c r="B4689" s="136">
        <v>44088</v>
      </c>
      <c r="C4689" s="4">
        <v>72</v>
      </c>
      <c r="D4689" s="29">
        <f t="shared" si="386"/>
        <v>5310</v>
      </c>
      <c r="F4689" s="129">
        <f t="shared" si="387"/>
        <v>89</v>
      </c>
    </row>
    <row r="4690" spans="1:6" x14ac:dyDescent="0.25">
      <c r="A4690" s="51" t="s">
        <v>48</v>
      </c>
      <c r="B4690" s="136">
        <v>44088</v>
      </c>
      <c r="C4690" s="4">
        <v>1</v>
      </c>
      <c r="D4690" s="29">
        <f t="shared" si="386"/>
        <v>95</v>
      </c>
      <c r="F4690" s="129">
        <f>E4690+F4666</f>
        <v>1</v>
      </c>
    </row>
    <row r="4691" spans="1:6" x14ac:dyDescent="0.25">
      <c r="A4691" s="51" t="s">
        <v>39</v>
      </c>
      <c r="B4691" s="136">
        <v>44088</v>
      </c>
      <c r="C4691" s="4">
        <v>277</v>
      </c>
      <c r="D4691" s="29">
        <f t="shared" si="386"/>
        <v>12399</v>
      </c>
      <c r="E4691" s="4">
        <f>3+1+5+1</f>
        <v>10</v>
      </c>
      <c r="F4691" s="129">
        <f t="shared" si="387"/>
        <v>266</v>
      </c>
    </row>
    <row r="4692" spans="1:6" x14ac:dyDescent="0.25">
      <c r="A4692" s="51" t="s">
        <v>40</v>
      </c>
      <c r="B4692" s="136">
        <v>44088</v>
      </c>
      <c r="C4692" s="4">
        <v>45</v>
      </c>
      <c r="D4692" s="29">
        <f t="shared" si="386"/>
        <v>442</v>
      </c>
      <c r="F4692" s="129">
        <f t="shared" si="387"/>
        <v>4</v>
      </c>
    </row>
    <row r="4693" spans="1:6" x14ac:dyDescent="0.25">
      <c r="A4693" s="51" t="s">
        <v>28</v>
      </c>
      <c r="B4693" s="136">
        <v>44088</v>
      </c>
      <c r="C4693" s="4">
        <v>74</v>
      </c>
      <c r="D4693" s="29">
        <f t="shared" si="386"/>
        <v>2882</v>
      </c>
      <c r="E4693" s="4">
        <f>13+11</f>
        <v>24</v>
      </c>
      <c r="F4693" s="129">
        <f t="shared" si="387"/>
        <v>82</v>
      </c>
    </row>
    <row r="4694" spans="1:6" x14ac:dyDescent="0.25">
      <c r="A4694" s="51" t="s">
        <v>24</v>
      </c>
      <c r="B4694" s="136">
        <v>44088</v>
      </c>
      <c r="C4694" s="4">
        <v>650</v>
      </c>
      <c r="D4694" s="29">
        <f t="shared" si="386"/>
        <v>15132</v>
      </c>
      <c r="E4694" s="4">
        <f>2+1</f>
        <v>3</v>
      </c>
      <c r="F4694" s="129">
        <f t="shared" si="387"/>
        <v>153</v>
      </c>
    </row>
    <row r="4695" spans="1:6" x14ac:dyDescent="0.25">
      <c r="A4695" s="51" t="s">
        <v>30</v>
      </c>
      <c r="B4695" s="136">
        <v>44088</v>
      </c>
      <c r="C4695" s="4">
        <v>0</v>
      </c>
      <c r="D4695" s="29">
        <f t="shared" si="386"/>
        <v>68</v>
      </c>
      <c r="F4695" s="129">
        <f t="shared" si="387"/>
        <v>2</v>
      </c>
    </row>
    <row r="4696" spans="1:6" x14ac:dyDescent="0.25">
      <c r="A4696" s="51" t="s">
        <v>26</v>
      </c>
      <c r="B4696" s="136">
        <v>44088</v>
      </c>
      <c r="C4696" s="4">
        <v>227</v>
      </c>
      <c r="D4696" s="29">
        <f>C4696+D4672</f>
        <v>5039</v>
      </c>
      <c r="E4696" s="4">
        <f>1+1</f>
        <v>2</v>
      </c>
      <c r="F4696" s="129">
        <f t="shared" si="387"/>
        <v>52</v>
      </c>
    </row>
    <row r="4697" spans="1:6" x14ac:dyDescent="0.25">
      <c r="A4697" s="51" t="s">
        <v>25</v>
      </c>
      <c r="B4697" s="136">
        <v>44088</v>
      </c>
      <c r="C4697" s="4">
        <v>135</v>
      </c>
      <c r="D4697" s="29">
        <f>C4697+D4673</f>
        <v>8854</v>
      </c>
      <c r="E4697" s="4">
        <f>4+4</f>
        <v>8</v>
      </c>
      <c r="F4697" s="129">
        <f t="shared" si="387"/>
        <v>161</v>
      </c>
    </row>
    <row r="4698" spans="1:6" x14ac:dyDescent="0.25">
      <c r="A4698" s="51" t="s">
        <v>41</v>
      </c>
      <c r="B4698" s="136">
        <v>44088</v>
      </c>
      <c r="C4698" s="4">
        <v>229</v>
      </c>
      <c r="D4698" s="29">
        <f>C4698+D4674</f>
        <v>6994</v>
      </c>
      <c r="E4698" s="4">
        <f>4+1</f>
        <v>5</v>
      </c>
      <c r="F4698" s="129">
        <f>E4698+F4674</f>
        <v>94</v>
      </c>
    </row>
    <row r="4699" spans="1:6" x14ac:dyDescent="0.25">
      <c r="A4699" s="51" t="s">
        <v>42</v>
      </c>
      <c r="B4699" s="136">
        <v>44088</v>
      </c>
      <c r="C4699" s="4">
        <v>0</v>
      </c>
      <c r="D4699" s="29">
        <f t="shared" ref="D4699:D4705" si="388">C4699+D4675</f>
        <v>417</v>
      </c>
      <c r="F4699" s="129">
        <f>E4699+F4675</f>
        <v>12</v>
      </c>
    </row>
    <row r="4700" spans="1:6" x14ac:dyDescent="0.25">
      <c r="A4700" s="51" t="s">
        <v>43</v>
      </c>
      <c r="B4700" s="136">
        <v>44088</v>
      </c>
      <c r="C4700" s="4">
        <v>49</v>
      </c>
      <c r="D4700" s="29">
        <f t="shared" si="388"/>
        <v>432</v>
      </c>
      <c r="F4700" s="129">
        <f t="shared" si="387"/>
        <v>0</v>
      </c>
    </row>
    <row r="4701" spans="1:6" x14ac:dyDescent="0.25">
      <c r="A4701" s="51" t="s">
        <v>44</v>
      </c>
      <c r="B4701" s="136">
        <v>44088</v>
      </c>
      <c r="C4701" s="4">
        <v>39</v>
      </c>
      <c r="D4701" s="29">
        <f t="shared" si="388"/>
        <v>3108</v>
      </c>
      <c r="E4701" s="4">
        <f>1+11+3</f>
        <v>15</v>
      </c>
      <c r="F4701" s="129">
        <f>E4701+F4677</f>
        <v>36</v>
      </c>
    </row>
    <row r="4702" spans="1:6" x14ac:dyDescent="0.25">
      <c r="A4702" s="51" t="s">
        <v>29</v>
      </c>
      <c r="B4702" s="136">
        <v>44088</v>
      </c>
      <c r="C4702" s="4">
        <v>850</v>
      </c>
      <c r="D4702" s="29">
        <f t="shared" si="388"/>
        <v>19467</v>
      </c>
      <c r="E4702" s="4">
        <f>1+10+5</f>
        <v>16</v>
      </c>
      <c r="F4702" s="129">
        <f>E4702+F4678</f>
        <v>212</v>
      </c>
    </row>
    <row r="4703" spans="1:6" x14ac:dyDescent="0.25">
      <c r="A4703" s="51" t="s">
        <v>45</v>
      </c>
      <c r="B4703" s="136">
        <v>44088</v>
      </c>
      <c r="C4703" s="4">
        <v>81</v>
      </c>
      <c r="D4703" s="29">
        <f t="shared" si="388"/>
        <v>1913</v>
      </c>
      <c r="E4703" s="4">
        <f>2</f>
        <v>2</v>
      </c>
      <c r="F4703" s="129">
        <f t="shared" si="387"/>
        <v>28</v>
      </c>
    </row>
    <row r="4704" spans="1:6" x14ac:dyDescent="0.25">
      <c r="A4704" s="51" t="s">
        <v>46</v>
      </c>
      <c r="B4704" s="136">
        <v>44088</v>
      </c>
      <c r="C4704" s="4">
        <v>72</v>
      </c>
      <c r="D4704" s="29">
        <f t="shared" si="388"/>
        <v>2777</v>
      </c>
      <c r="E4704" s="4">
        <f>1+1</f>
        <v>2</v>
      </c>
      <c r="F4704" s="129">
        <f>E4704+F4680</f>
        <v>47</v>
      </c>
    </row>
    <row r="4705" spans="1:6" ht="15.75" thickBot="1" x14ac:dyDescent="0.3">
      <c r="A4705" s="96" t="s">
        <v>47</v>
      </c>
      <c r="B4705" s="138">
        <v>44088</v>
      </c>
      <c r="C4705" s="47">
        <v>621</v>
      </c>
      <c r="D4705" s="85">
        <f t="shared" si="388"/>
        <v>7249</v>
      </c>
      <c r="E4705" s="47"/>
      <c r="F4705" s="139">
        <f>E4705+F4681</f>
        <v>19</v>
      </c>
    </row>
    <row r="4706" spans="1:6" x14ac:dyDescent="0.25">
      <c r="A4706" s="64" t="s">
        <v>22</v>
      </c>
      <c r="B4706" s="49">
        <v>44089</v>
      </c>
      <c r="C4706" s="50">
        <v>6001</v>
      </c>
      <c r="D4706" s="131">
        <f>C4706+D4682</f>
        <v>342653</v>
      </c>
      <c r="E4706" s="50">
        <f>16+11+32+41</f>
        <v>100</v>
      </c>
      <c r="F4706" s="128">
        <f>E4706+F4682</f>
        <v>7107</v>
      </c>
    </row>
    <row r="4707" spans="1:6" x14ac:dyDescent="0.25">
      <c r="A4707" s="140" t="s">
        <v>20</v>
      </c>
      <c r="B4707" s="136">
        <v>44089</v>
      </c>
      <c r="C4707" s="4">
        <v>1010</v>
      </c>
      <c r="D4707" s="29">
        <f t="shared" ref="D4707:D4719" si="389">C4707+D4683</f>
        <v>112856</v>
      </c>
      <c r="E4707" s="4">
        <f>6+2+12+6</f>
        <v>26</v>
      </c>
      <c r="F4707" s="129">
        <f>E4707+F4683</f>
        <v>2740</v>
      </c>
    </row>
    <row r="4708" spans="1:6" x14ac:dyDescent="0.25">
      <c r="A4708" s="140" t="s">
        <v>35</v>
      </c>
      <c r="B4708" s="136">
        <v>44089</v>
      </c>
      <c r="C4708" s="4">
        <v>4</v>
      </c>
      <c r="D4708" s="29">
        <f t="shared" si="389"/>
        <v>133</v>
      </c>
      <c r="F4708" s="129">
        <f>E4708+F4684</f>
        <v>0</v>
      </c>
    </row>
    <row r="4709" spans="1:6" x14ac:dyDescent="0.25">
      <c r="A4709" s="140" t="s">
        <v>21</v>
      </c>
      <c r="B4709" s="136">
        <v>44089</v>
      </c>
      <c r="C4709" s="4">
        <v>87</v>
      </c>
      <c r="D4709" s="29">
        <f t="shared" si="389"/>
        <v>6879</v>
      </c>
      <c r="E4709" s="4">
        <f>1+1</f>
        <v>2</v>
      </c>
      <c r="F4709" s="129">
        <f t="shared" ref="F4709:F4727" si="390">E4709+F4685</f>
        <v>243</v>
      </c>
    </row>
    <row r="4710" spans="1:6" x14ac:dyDescent="0.25">
      <c r="A4710" s="140" t="s">
        <v>36</v>
      </c>
      <c r="B4710" s="136">
        <v>44089</v>
      </c>
      <c r="C4710" s="4">
        <v>98</v>
      </c>
      <c r="D4710" s="29">
        <f t="shared" si="389"/>
        <v>1855</v>
      </c>
      <c r="E4710" s="4">
        <f>1+2</f>
        <v>3</v>
      </c>
      <c r="F4710" s="129">
        <f t="shared" si="390"/>
        <v>23</v>
      </c>
    </row>
    <row r="4711" spans="1:6" x14ac:dyDescent="0.25">
      <c r="A4711" s="140" t="s">
        <v>27</v>
      </c>
      <c r="B4711" s="136">
        <v>44089</v>
      </c>
      <c r="C4711" s="4">
        <v>719</v>
      </c>
      <c r="D4711" s="29">
        <f t="shared" si="389"/>
        <v>15693</v>
      </c>
      <c r="E4711" s="4">
        <f>4+4</f>
        <v>8</v>
      </c>
      <c r="F4711" s="129">
        <f t="shared" si="390"/>
        <v>212</v>
      </c>
    </row>
    <row r="4712" spans="1:6" x14ac:dyDescent="0.25">
      <c r="A4712" s="140" t="s">
        <v>37</v>
      </c>
      <c r="B4712" s="136">
        <v>44089</v>
      </c>
      <c r="C4712" s="4">
        <v>60</v>
      </c>
      <c r="D4712" s="29">
        <f t="shared" si="389"/>
        <v>778</v>
      </c>
      <c r="F4712" s="129">
        <f t="shared" si="390"/>
        <v>6</v>
      </c>
    </row>
    <row r="4713" spans="1:6" x14ac:dyDescent="0.25">
      <c r="A4713" s="140" t="s">
        <v>38</v>
      </c>
      <c r="B4713" s="136">
        <v>44089</v>
      </c>
      <c r="C4713" s="4">
        <v>189</v>
      </c>
      <c r="D4713" s="29">
        <f t="shared" si="389"/>
        <v>5499</v>
      </c>
      <c r="E4713" s="4">
        <f>3+2</f>
        <v>5</v>
      </c>
      <c r="F4713" s="129">
        <f t="shared" si="390"/>
        <v>94</v>
      </c>
    </row>
    <row r="4714" spans="1:6" x14ac:dyDescent="0.25">
      <c r="A4714" s="140" t="s">
        <v>48</v>
      </c>
      <c r="B4714" s="136">
        <v>44089</v>
      </c>
      <c r="C4714" s="4">
        <v>3</v>
      </c>
      <c r="D4714" s="29">
        <f t="shared" si="389"/>
        <v>98</v>
      </c>
      <c r="F4714" s="129">
        <f>E4714+F4690</f>
        <v>1</v>
      </c>
    </row>
    <row r="4715" spans="1:6" x14ac:dyDescent="0.25">
      <c r="A4715" s="140" t="s">
        <v>39</v>
      </c>
      <c r="B4715" s="136">
        <v>44089</v>
      </c>
      <c r="C4715" s="4">
        <v>331</v>
      </c>
      <c r="D4715" s="29">
        <f t="shared" si="389"/>
        <v>12730</v>
      </c>
      <c r="E4715" s="4">
        <f>5+5</f>
        <v>10</v>
      </c>
      <c r="F4715" s="129">
        <f t="shared" si="390"/>
        <v>276</v>
      </c>
    </row>
    <row r="4716" spans="1:6" x14ac:dyDescent="0.25">
      <c r="A4716" s="140" t="s">
        <v>40</v>
      </c>
      <c r="B4716" s="136">
        <v>44089</v>
      </c>
      <c r="C4716" s="4">
        <v>24</v>
      </c>
      <c r="D4716" s="29">
        <f t="shared" si="389"/>
        <v>466</v>
      </c>
      <c r="F4716" s="129">
        <f t="shared" si="390"/>
        <v>4</v>
      </c>
    </row>
    <row r="4717" spans="1:6" x14ac:dyDescent="0.25">
      <c r="A4717" s="140" t="s">
        <v>28</v>
      </c>
      <c r="B4717" s="136">
        <v>44089</v>
      </c>
      <c r="C4717" s="4">
        <v>124</v>
      </c>
      <c r="D4717" s="29">
        <f t="shared" si="389"/>
        <v>3006</v>
      </c>
      <c r="E4717" s="4">
        <f>2+3</f>
        <v>5</v>
      </c>
      <c r="F4717" s="129">
        <f t="shared" si="390"/>
        <v>87</v>
      </c>
    </row>
    <row r="4718" spans="1:6" x14ac:dyDescent="0.25">
      <c r="A4718" s="140" t="s">
        <v>24</v>
      </c>
      <c r="B4718" s="136">
        <v>44089</v>
      </c>
      <c r="C4718" s="4">
        <v>629</v>
      </c>
      <c r="D4718" s="29">
        <f t="shared" si="389"/>
        <v>15761</v>
      </c>
      <c r="E4718" s="4">
        <f>2+1</f>
        <v>3</v>
      </c>
      <c r="F4718" s="129">
        <f t="shared" si="390"/>
        <v>156</v>
      </c>
    </row>
    <row r="4719" spans="1:6" x14ac:dyDescent="0.25">
      <c r="A4719" s="140" t="s">
        <v>30</v>
      </c>
      <c r="B4719" s="136">
        <v>44089</v>
      </c>
      <c r="C4719" s="4">
        <v>-8</v>
      </c>
      <c r="D4719" s="29">
        <f t="shared" si="389"/>
        <v>60</v>
      </c>
      <c r="F4719" s="129">
        <f t="shared" si="390"/>
        <v>2</v>
      </c>
    </row>
    <row r="4720" spans="1:6" x14ac:dyDescent="0.25">
      <c r="A4720" s="140" t="s">
        <v>26</v>
      </c>
      <c r="B4720" s="136">
        <v>44089</v>
      </c>
      <c r="C4720" s="4">
        <v>120</v>
      </c>
      <c r="D4720" s="29">
        <f>C4720+D4696</f>
        <v>5159</v>
      </c>
      <c r="E4720" s="4">
        <f>1</f>
        <v>1</v>
      </c>
      <c r="F4720" s="129">
        <f t="shared" si="390"/>
        <v>53</v>
      </c>
    </row>
    <row r="4721" spans="1:6" x14ac:dyDescent="0.25">
      <c r="A4721" s="140" t="s">
        <v>25</v>
      </c>
      <c r="B4721" s="136">
        <v>44089</v>
      </c>
      <c r="C4721" s="4">
        <v>375</v>
      </c>
      <c r="D4721" s="29">
        <f>C4721+D4697</f>
        <v>9229</v>
      </c>
      <c r="E4721" s="4">
        <f>3+4</f>
        <v>7</v>
      </c>
      <c r="F4721" s="129">
        <f t="shared" si="390"/>
        <v>168</v>
      </c>
    </row>
    <row r="4722" spans="1:6" x14ac:dyDescent="0.25">
      <c r="A4722" s="140" t="s">
        <v>41</v>
      </c>
      <c r="B4722" s="136">
        <v>44089</v>
      </c>
      <c r="C4722" s="4">
        <v>309</v>
      </c>
      <c r="D4722" s="29">
        <f>C4722+D4698</f>
        <v>7303</v>
      </c>
      <c r="E4722" s="4">
        <f>1+1+3</f>
        <v>5</v>
      </c>
      <c r="F4722" s="129">
        <f>E4722+F4698</f>
        <v>99</v>
      </c>
    </row>
    <row r="4723" spans="1:6" x14ac:dyDescent="0.25">
      <c r="A4723" s="140" t="s">
        <v>42</v>
      </c>
      <c r="B4723" s="136">
        <v>44089</v>
      </c>
      <c r="C4723" s="4">
        <v>11</v>
      </c>
      <c r="D4723" s="29">
        <f t="shared" ref="D4723:D4729" si="391">C4723+D4699</f>
        <v>428</v>
      </c>
      <c r="F4723" s="129">
        <f>E4723+F4699</f>
        <v>12</v>
      </c>
    </row>
    <row r="4724" spans="1:6" x14ac:dyDescent="0.25">
      <c r="A4724" s="140" t="s">
        <v>43</v>
      </c>
      <c r="B4724" s="136">
        <v>44089</v>
      </c>
      <c r="C4724" s="4">
        <v>51</v>
      </c>
      <c r="D4724" s="29">
        <f t="shared" si="391"/>
        <v>483</v>
      </c>
      <c r="F4724" s="129">
        <f t="shared" si="390"/>
        <v>0</v>
      </c>
    </row>
    <row r="4725" spans="1:6" x14ac:dyDescent="0.25">
      <c r="A4725" s="140" t="s">
        <v>44</v>
      </c>
      <c r="B4725" s="136">
        <v>44089</v>
      </c>
      <c r="C4725" s="4">
        <v>84</v>
      </c>
      <c r="D4725" s="29">
        <f t="shared" si="391"/>
        <v>3192</v>
      </c>
      <c r="F4725" s="129">
        <f>E4725+F4701</f>
        <v>36</v>
      </c>
    </row>
    <row r="4726" spans="1:6" x14ac:dyDescent="0.25">
      <c r="A4726" s="140" t="s">
        <v>29</v>
      </c>
      <c r="B4726" s="136">
        <v>44089</v>
      </c>
      <c r="C4726" s="4">
        <v>1056</v>
      </c>
      <c r="D4726" s="29">
        <f t="shared" si="391"/>
        <v>20523</v>
      </c>
      <c r="E4726" s="4">
        <f>3+4</f>
        <v>7</v>
      </c>
      <c r="F4726" s="129">
        <f>E4726+F4702</f>
        <v>219</v>
      </c>
    </row>
    <row r="4727" spans="1:6" x14ac:dyDescent="0.25">
      <c r="A4727" s="140" t="s">
        <v>45</v>
      </c>
      <c r="B4727" s="136">
        <v>44089</v>
      </c>
      <c r="C4727" s="4">
        <v>69</v>
      </c>
      <c r="D4727" s="29">
        <f t="shared" si="391"/>
        <v>1982</v>
      </c>
      <c r="F4727" s="129">
        <f t="shared" si="390"/>
        <v>28</v>
      </c>
    </row>
    <row r="4728" spans="1:6" x14ac:dyDescent="0.25">
      <c r="A4728" s="140" t="s">
        <v>46</v>
      </c>
      <c r="B4728" s="136">
        <v>44089</v>
      </c>
      <c r="C4728" s="4">
        <v>78</v>
      </c>
      <c r="D4728" s="29">
        <f t="shared" si="391"/>
        <v>2855</v>
      </c>
      <c r="F4728" s="129">
        <f>E4728+F4704</f>
        <v>47</v>
      </c>
    </row>
    <row r="4729" spans="1:6" ht="15.75" thickBot="1" x14ac:dyDescent="0.3">
      <c r="A4729" s="142" t="s">
        <v>47</v>
      </c>
      <c r="B4729" s="138">
        <v>44089</v>
      </c>
      <c r="C4729" s="47">
        <v>468</v>
      </c>
      <c r="D4729" s="85">
        <f t="shared" si="391"/>
        <v>7717</v>
      </c>
      <c r="E4729" s="47">
        <f>2+1</f>
        <v>3</v>
      </c>
      <c r="F4729" s="139">
        <f>E4729+F4705</f>
        <v>22</v>
      </c>
    </row>
    <row r="4730" spans="1:6" x14ac:dyDescent="0.25">
      <c r="A4730" s="64" t="s">
        <v>22</v>
      </c>
      <c r="B4730" s="49">
        <v>44090</v>
      </c>
      <c r="C4730" s="50">
        <v>6078</v>
      </c>
      <c r="D4730" s="131">
        <f>C4730+D4706</f>
        <v>348731</v>
      </c>
      <c r="E4730" s="50">
        <f>26+23+68+48</f>
        <v>165</v>
      </c>
      <c r="F4730" s="128">
        <f>E4730+F4706</f>
        <v>7272</v>
      </c>
    </row>
    <row r="4731" spans="1:6" x14ac:dyDescent="0.25">
      <c r="A4731" s="140" t="s">
        <v>20</v>
      </c>
      <c r="B4731" s="26">
        <v>44090</v>
      </c>
      <c r="C4731" s="4">
        <v>813</v>
      </c>
      <c r="D4731" s="29">
        <f t="shared" ref="D4731:D4743" si="392">C4731+D4707</f>
        <v>113669</v>
      </c>
      <c r="E4731" s="4">
        <f>2+21+17</f>
        <v>40</v>
      </c>
      <c r="F4731" s="129">
        <f>E4731+F4707</f>
        <v>2780</v>
      </c>
    </row>
    <row r="4732" spans="1:6" x14ac:dyDescent="0.25">
      <c r="A4732" s="140" t="s">
        <v>35</v>
      </c>
      <c r="B4732" s="26">
        <v>44090</v>
      </c>
      <c r="C4732" s="4">
        <v>21</v>
      </c>
      <c r="D4732" s="29">
        <f t="shared" si="392"/>
        <v>154</v>
      </c>
      <c r="F4732" s="129">
        <f>E4732+F4708</f>
        <v>0</v>
      </c>
    </row>
    <row r="4733" spans="1:6" x14ac:dyDescent="0.25">
      <c r="A4733" s="140" t="s">
        <v>21</v>
      </c>
      <c r="B4733" s="26">
        <v>44090</v>
      </c>
      <c r="C4733" s="4">
        <v>122</v>
      </c>
      <c r="D4733" s="29">
        <f t="shared" si="392"/>
        <v>7001</v>
      </c>
      <c r="F4733" s="129">
        <f t="shared" ref="F4733:F4751" si="393">E4733+F4709</f>
        <v>243</v>
      </c>
    </row>
    <row r="4734" spans="1:6" x14ac:dyDescent="0.25">
      <c r="A4734" s="140" t="s">
        <v>36</v>
      </c>
      <c r="B4734" s="26">
        <v>44090</v>
      </c>
      <c r="C4734" s="4">
        <v>94</v>
      </c>
      <c r="D4734" s="29">
        <f t="shared" si="392"/>
        <v>1949</v>
      </c>
      <c r="F4734" s="129">
        <f t="shared" si="393"/>
        <v>23</v>
      </c>
    </row>
    <row r="4735" spans="1:6" x14ac:dyDescent="0.25">
      <c r="A4735" s="140" t="s">
        <v>27</v>
      </c>
      <c r="B4735" s="26">
        <v>44090</v>
      </c>
      <c r="C4735" s="4">
        <v>691</v>
      </c>
      <c r="D4735" s="29">
        <f t="shared" si="392"/>
        <v>16384</v>
      </c>
      <c r="E4735" s="4">
        <f>5+4</f>
        <v>9</v>
      </c>
      <c r="F4735" s="129">
        <f t="shared" si="393"/>
        <v>221</v>
      </c>
    </row>
    <row r="4736" spans="1:6" x14ac:dyDescent="0.25">
      <c r="A4736" s="140" t="s">
        <v>37</v>
      </c>
      <c r="B4736" s="26">
        <v>44090</v>
      </c>
      <c r="C4736" s="4">
        <v>17</v>
      </c>
      <c r="D4736" s="29">
        <f t="shared" si="392"/>
        <v>795</v>
      </c>
      <c r="F4736" s="129">
        <f>E4736+F4712</f>
        <v>6</v>
      </c>
    </row>
    <row r="4737" spans="1:6" x14ac:dyDescent="0.25">
      <c r="A4737" s="140" t="s">
        <v>38</v>
      </c>
      <c r="B4737" s="26">
        <v>44090</v>
      </c>
      <c r="C4737" s="4">
        <v>125</v>
      </c>
      <c r="D4737" s="29">
        <f t="shared" si="392"/>
        <v>5624</v>
      </c>
      <c r="E4737" s="4">
        <f>1+2</f>
        <v>3</v>
      </c>
      <c r="F4737" s="129">
        <f>E4737+F4713</f>
        <v>97</v>
      </c>
    </row>
    <row r="4738" spans="1:6" x14ac:dyDescent="0.25">
      <c r="A4738" s="140" t="s">
        <v>48</v>
      </c>
      <c r="B4738" s="26">
        <v>44090</v>
      </c>
      <c r="C4738" s="4">
        <v>-2</v>
      </c>
      <c r="D4738" s="29">
        <f t="shared" si="392"/>
        <v>96</v>
      </c>
      <c r="F4738" s="129">
        <f>E4738+F4714</f>
        <v>1</v>
      </c>
    </row>
    <row r="4739" spans="1:6" x14ac:dyDescent="0.25">
      <c r="A4739" s="140" t="s">
        <v>39</v>
      </c>
      <c r="B4739" s="26">
        <v>44090</v>
      </c>
      <c r="C4739" s="4">
        <v>305</v>
      </c>
      <c r="D4739" s="29">
        <f t="shared" si="392"/>
        <v>13035</v>
      </c>
      <c r="F4739" s="129">
        <f t="shared" si="393"/>
        <v>276</v>
      </c>
    </row>
    <row r="4740" spans="1:6" x14ac:dyDescent="0.25">
      <c r="A4740" s="140" t="s">
        <v>40</v>
      </c>
      <c r="B4740" s="26">
        <v>44090</v>
      </c>
      <c r="C4740" s="4">
        <v>39</v>
      </c>
      <c r="D4740" s="29">
        <f t="shared" si="392"/>
        <v>505</v>
      </c>
      <c r="F4740" s="129">
        <f t="shared" si="393"/>
        <v>4</v>
      </c>
    </row>
    <row r="4741" spans="1:6" x14ac:dyDescent="0.25">
      <c r="A4741" s="140" t="s">
        <v>28</v>
      </c>
      <c r="B4741" s="26">
        <v>44090</v>
      </c>
      <c r="C4741" s="4">
        <v>125</v>
      </c>
      <c r="D4741" s="29">
        <f t="shared" si="392"/>
        <v>3131</v>
      </c>
      <c r="F4741" s="129">
        <f t="shared" si="393"/>
        <v>87</v>
      </c>
    </row>
    <row r="4742" spans="1:6" x14ac:dyDescent="0.25">
      <c r="A4742" s="140" t="s">
        <v>24</v>
      </c>
      <c r="B4742" s="26">
        <v>44090</v>
      </c>
      <c r="C4742" s="4">
        <v>682</v>
      </c>
      <c r="D4742" s="29">
        <f t="shared" si="392"/>
        <v>16443</v>
      </c>
      <c r="E4742" s="4">
        <f>1+1+1</f>
        <v>3</v>
      </c>
      <c r="F4742" s="129">
        <f t="shared" si="393"/>
        <v>159</v>
      </c>
    </row>
    <row r="4743" spans="1:6" x14ac:dyDescent="0.25">
      <c r="A4743" s="140" t="s">
        <v>30</v>
      </c>
      <c r="B4743" s="26">
        <v>44090</v>
      </c>
      <c r="C4743" s="4">
        <v>3</v>
      </c>
      <c r="D4743" s="29">
        <f t="shared" si="392"/>
        <v>63</v>
      </c>
      <c r="F4743" s="129">
        <f t="shared" si="393"/>
        <v>2</v>
      </c>
    </row>
    <row r="4744" spans="1:6" x14ac:dyDescent="0.25">
      <c r="A4744" s="140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29">
        <f t="shared" si="393"/>
        <v>54</v>
      </c>
    </row>
    <row r="4745" spans="1:6" x14ac:dyDescent="0.25">
      <c r="A4745" s="140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29">
        <f t="shared" si="393"/>
        <v>176</v>
      </c>
    </row>
    <row r="4746" spans="1:6" x14ac:dyDescent="0.25">
      <c r="A4746" s="140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29">
        <f>E4746+F4722</f>
        <v>101</v>
      </c>
    </row>
    <row r="4747" spans="1:6" x14ac:dyDescent="0.25">
      <c r="A4747" s="140" t="s">
        <v>42</v>
      </c>
      <c r="B4747" s="26">
        <v>44090</v>
      </c>
      <c r="C4747" s="4">
        <v>0</v>
      </c>
      <c r="D4747" s="29">
        <f t="shared" ref="D4747:D4753" si="394">C4747+D4723</f>
        <v>428</v>
      </c>
      <c r="E4747" s="4">
        <f>2</f>
        <v>2</v>
      </c>
      <c r="F4747" s="129">
        <f>E4747+F4723</f>
        <v>14</v>
      </c>
    </row>
    <row r="4748" spans="1:6" x14ac:dyDescent="0.25">
      <c r="A4748" s="140" t="s">
        <v>43</v>
      </c>
      <c r="B4748" s="26">
        <v>44090</v>
      </c>
      <c r="C4748" s="4">
        <v>25</v>
      </c>
      <c r="D4748" s="29">
        <f t="shared" si="394"/>
        <v>508</v>
      </c>
      <c r="F4748" s="129">
        <f t="shared" si="393"/>
        <v>0</v>
      </c>
    </row>
    <row r="4749" spans="1:6" x14ac:dyDescent="0.25">
      <c r="A4749" s="140" t="s">
        <v>44</v>
      </c>
      <c r="B4749" s="26">
        <v>44090</v>
      </c>
      <c r="C4749" s="4">
        <v>84</v>
      </c>
      <c r="D4749" s="29">
        <f t="shared" si="394"/>
        <v>3276</v>
      </c>
      <c r="E4749" s="4">
        <f>3</f>
        <v>3</v>
      </c>
      <c r="F4749" s="129">
        <f>E4749+F4725</f>
        <v>39</v>
      </c>
    </row>
    <row r="4750" spans="1:6" x14ac:dyDescent="0.25">
      <c r="A4750" s="140" t="s">
        <v>29</v>
      </c>
      <c r="B4750" s="26">
        <v>44090</v>
      </c>
      <c r="C4750" s="4">
        <v>1149</v>
      </c>
      <c r="D4750" s="29">
        <f t="shared" si="394"/>
        <v>21672</v>
      </c>
      <c r="E4750" s="4">
        <f>2+1+7+7</f>
        <v>17</v>
      </c>
      <c r="F4750" s="129">
        <f>E4750+F4726</f>
        <v>236</v>
      </c>
    </row>
    <row r="4751" spans="1:6" x14ac:dyDescent="0.25">
      <c r="A4751" s="140" t="s">
        <v>45</v>
      </c>
      <c r="B4751" s="26">
        <v>44090</v>
      </c>
      <c r="C4751" s="4">
        <v>59</v>
      </c>
      <c r="D4751" s="29">
        <f t="shared" si="394"/>
        <v>2041</v>
      </c>
      <c r="F4751" s="129">
        <f t="shared" si="393"/>
        <v>28</v>
      </c>
    </row>
    <row r="4752" spans="1:6" x14ac:dyDescent="0.25">
      <c r="A4752" s="140" t="s">
        <v>46</v>
      </c>
      <c r="B4752" s="26">
        <v>44090</v>
      </c>
      <c r="C4752" s="4">
        <v>46</v>
      </c>
      <c r="D4752" s="29">
        <f t="shared" si="394"/>
        <v>2901</v>
      </c>
      <c r="E4752" s="4">
        <f>1+2</f>
        <v>3</v>
      </c>
      <c r="F4752" s="129">
        <f>E4752+F4728</f>
        <v>50</v>
      </c>
    </row>
    <row r="4753" spans="1:6" ht="15.75" thickBot="1" x14ac:dyDescent="0.3">
      <c r="A4753" s="141" t="s">
        <v>47</v>
      </c>
      <c r="B4753" s="53">
        <v>44090</v>
      </c>
      <c r="C4753" s="54">
        <v>458</v>
      </c>
      <c r="D4753" s="132">
        <f t="shared" si="394"/>
        <v>8175</v>
      </c>
      <c r="E4753" s="54">
        <f>8</f>
        <v>8</v>
      </c>
      <c r="F4753" s="130">
        <f>E4753+F4729</f>
        <v>30</v>
      </c>
    </row>
    <row r="4754" spans="1:6" ht="15.75" thickBot="1" x14ac:dyDescent="0.3">
      <c r="A4754" s="64" t="s">
        <v>22</v>
      </c>
      <c r="B4754" s="53">
        <v>44091</v>
      </c>
      <c r="C4754" s="48">
        <v>6319</v>
      </c>
      <c r="D4754" s="131">
        <f>C4754+D4730</f>
        <v>355050</v>
      </c>
      <c r="E4754" s="48">
        <f>28+34+87+65</f>
        <v>214</v>
      </c>
      <c r="F4754" s="128">
        <f>E4754+F4730</f>
        <v>7486</v>
      </c>
    </row>
    <row r="4755" spans="1:6" ht="15.75" thickBot="1" x14ac:dyDescent="0.3">
      <c r="A4755" s="140" t="s">
        <v>20</v>
      </c>
      <c r="B4755" s="53">
        <v>44091</v>
      </c>
      <c r="C4755" s="4">
        <v>1156</v>
      </c>
      <c r="D4755" s="29">
        <f t="shared" ref="D4755:D4767" si="395">C4755+D4731</f>
        <v>114825</v>
      </c>
      <c r="E4755" s="4">
        <f>6+1+10+7</f>
        <v>24</v>
      </c>
      <c r="F4755" s="129">
        <f>E4755+F4731</f>
        <v>2804</v>
      </c>
    </row>
    <row r="4756" spans="1:6" ht="15.75" thickBot="1" x14ac:dyDescent="0.3">
      <c r="A4756" s="140" t="s">
        <v>35</v>
      </c>
      <c r="B4756" s="53">
        <v>44091</v>
      </c>
      <c r="C4756" s="4">
        <v>23</v>
      </c>
      <c r="D4756" s="29">
        <f t="shared" si="395"/>
        <v>177</v>
      </c>
      <c r="F4756" s="129">
        <f>E4756+F4732</f>
        <v>0</v>
      </c>
    </row>
    <row r="4757" spans="1:6" ht="15.75" thickBot="1" x14ac:dyDescent="0.3">
      <c r="A4757" s="140" t="s">
        <v>21</v>
      </c>
      <c r="B4757" s="53">
        <v>44091</v>
      </c>
      <c r="C4757" s="4">
        <v>108</v>
      </c>
      <c r="D4757" s="29">
        <f t="shared" si="395"/>
        <v>7109</v>
      </c>
      <c r="E4757" s="4">
        <f>1+2</f>
        <v>3</v>
      </c>
      <c r="F4757" s="129">
        <f t="shared" ref="F4757:F4775" si="396">E4757+F4733</f>
        <v>246</v>
      </c>
    </row>
    <row r="4758" spans="1:6" ht="15.75" thickBot="1" x14ac:dyDescent="0.3">
      <c r="A4758" s="140" t="s">
        <v>36</v>
      </c>
      <c r="B4758" s="53">
        <v>44091</v>
      </c>
      <c r="C4758" s="4">
        <v>95</v>
      </c>
      <c r="D4758" s="29">
        <f t="shared" si="395"/>
        <v>2044</v>
      </c>
      <c r="E4758" s="4">
        <f>1</f>
        <v>1</v>
      </c>
      <c r="F4758" s="129">
        <f t="shared" si="396"/>
        <v>24</v>
      </c>
    </row>
    <row r="4759" spans="1:6" ht="15.75" thickBot="1" x14ac:dyDescent="0.3">
      <c r="A4759" s="140" t="s">
        <v>27</v>
      </c>
      <c r="B4759" s="53">
        <v>44091</v>
      </c>
      <c r="C4759" s="4">
        <v>757</v>
      </c>
      <c r="D4759" s="29">
        <f t="shared" si="395"/>
        <v>17141</v>
      </c>
      <c r="E4759" s="4">
        <f>1+4+2</f>
        <v>7</v>
      </c>
      <c r="F4759" s="129">
        <f t="shared" si="396"/>
        <v>228</v>
      </c>
    </row>
    <row r="4760" spans="1:6" ht="15.75" thickBot="1" x14ac:dyDescent="0.3">
      <c r="A4760" s="140" t="s">
        <v>37</v>
      </c>
      <c r="B4760" s="53">
        <v>44091</v>
      </c>
      <c r="C4760" s="4">
        <v>73</v>
      </c>
      <c r="D4760" s="29">
        <f t="shared" si="395"/>
        <v>868</v>
      </c>
      <c r="F4760" s="129">
        <f>E4760+F4736</f>
        <v>6</v>
      </c>
    </row>
    <row r="4761" spans="1:6" ht="15.75" thickBot="1" x14ac:dyDescent="0.3">
      <c r="A4761" s="140" t="s">
        <v>38</v>
      </c>
      <c r="B4761" s="53">
        <v>44091</v>
      </c>
      <c r="C4761" s="4">
        <v>150</v>
      </c>
      <c r="D4761" s="29">
        <f t="shared" si="395"/>
        <v>5774</v>
      </c>
      <c r="E4761" s="4">
        <f>4+1</f>
        <v>5</v>
      </c>
      <c r="F4761" s="129">
        <f>E4761+F4737</f>
        <v>102</v>
      </c>
    </row>
    <row r="4762" spans="1:6" ht="15.75" thickBot="1" x14ac:dyDescent="0.3">
      <c r="A4762" s="140" t="s">
        <v>48</v>
      </c>
      <c r="B4762" s="53">
        <v>44091</v>
      </c>
      <c r="C4762" s="4">
        <v>-3</v>
      </c>
      <c r="D4762" s="29">
        <f t="shared" si="395"/>
        <v>93</v>
      </c>
      <c r="F4762" s="129">
        <f>E4762+F4738</f>
        <v>1</v>
      </c>
    </row>
    <row r="4763" spans="1:6" ht="15.75" thickBot="1" x14ac:dyDescent="0.3">
      <c r="A4763" s="140" t="s">
        <v>39</v>
      </c>
      <c r="B4763" s="53">
        <v>44091</v>
      </c>
      <c r="C4763" s="4">
        <v>309</v>
      </c>
      <c r="D4763" s="29">
        <f t="shared" si="395"/>
        <v>13344</v>
      </c>
      <c r="E4763" s="4">
        <f>8+3+4+7</f>
        <v>22</v>
      </c>
      <c r="F4763" s="129">
        <f t="shared" si="396"/>
        <v>298</v>
      </c>
    </row>
    <row r="4764" spans="1:6" ht="15.75" thickBot="1" x14ac:dyDescent="0.3">
      <c r="A4764" s="140" t="s">
        <v>40</v>
      </c>
      <c r="B4764" s="53">
        <v>44091</v>
      </c>
      <c r="C4764" s="4">
        <v>15</v>
      </c>
      <c r="D4764" s="29">
        <f t="shared" si="395"/>
        <v>520</v>
      </c>
      <c r="F4764" s="129">
        <f t="shared" si="396"/>
        <v>4</v>
      </c>
    </row>
    <row r="4765" spans="1:6" ht="15.75" thickBot="1" x14ac:dyDescent="0.3">
      <c r="A4765" s="140" t="s">
        <v>28</v>
      </c>
      <c r="B4765" s="53">
        <v>44091</v>
      </c>
      <c r="C4765" s="4">
        <v>121</v>
      </c>
      <c r="D4765" s="29">
        <f t="shared" si="395"/>
        <v>3252</v>
      </c>
      <c r="E4765" s="4">
        <f>5+1</f>
        <v>6</v>
      </c>
      <c r="F4765" s="129">
        <f t="shared" si="396"/>
        <v>93</v>
      </c>
    </row>
    <row r="4766" spans="1:6" ht="15.75" thickBot="1" x14ac:dyDescent="0.3">
      <c r="A4766" s="140" t="s">
        <v>24</v>
      </c>
      <c r="B4766" s="53">
        <v>44091</v>
      </c>
      <c r="C4766" s="4">
        <v>566</v>
      </c>
      <c r="D4766" s="29">
        <f t="shared" si="395"/>
        <v>17009</v>
      </c>
      <c r="E4766" s="4">
        <f>1+1+3</f>
        <v>5</v>
      </c>
      <c r="F4766" s="129">
        <f t="shared" si="396"/>
        <v>164</v>
      </c>
    </row>
    <row r="4767" spans="1:6" ht="15.75" thickBot="1" x14ac:dyDescent="0.3">
      <c r="A4767" s="140" t="s">
        <v>30</v>
      </c>
      <c r="B4767" s="53">
        <v>44091</v>
      </c>
      <c r="C4767" s="4">
        <v>2</v>
      </c>
      <c r="D4767" s="29">
        <f t="shared" si="395"/>
        <v>65</v>
      </c>
      <c r="F4767" s="129">
        <f t="shared" si="396"/>
        <v>2</v>
      </c>
    </row>
    <row r="4768" spans="1:6" ht="15.75" thickBot="1" x14ac:dyDescent="0.3">
      <c r="A4768" s="140" t="s">
        <v>26</v>
      </c>
      <c r="B4768" s="53">
        <v>44091</v>
      </c>
      <c r="C4768" s="4">
        <v>218</v>
      </c>
      <c r="D4768" s="29">
        <f>C4768+D4744</f>
        <v>5566</v>
      </c>
      <c r="E4768" s="4">
        <f>5+2</f>
        <v>7</v>
      </c>
      <c r="F4768" s="129">
        <f t="shared" si="396"/>
        <v>61</v>
      </c>
    </row>
    <row r="4769" spans="1:6" ht="15.75" thickBot="1" x14ac:dyDescent="0.3">
      <c r="A4769" s="140" t="s">
        <v>25</v>
      </c>
      <c r="B4769" s="53">
        <v>44091</v>
      </c>
      <c r="C4769" s="4">
        <v>291</v>
      </c>
      <c r="D4769" s="29">
        <f>C4769+D4745</f>
        <v>9752</v>
      </c>
      <c r="E4769" s="4">
        <f>2+2+2</f>
        <v>6</v>
      </c>
      <c r="F4769" s="129">
        <f t="shared" si="396"/>
        <v>182</v>
      </c>
    </row>
    <row r="4770" spans="1:6" ht="15.75" thickBot="1" x14ac:dyDescent="0.3">
      <c r="A4770" s="140" t="s">
        <v>41</v>
      </c>
      <c r="B4770" s="53">
        <v>44091</v>
      </c>
      <c r="C4770" s="4">
        <v>419</v>
      </c>
      <c r="D4770" s="29">
        <f>C4770+D4746</f>
        <v>8041</v>
      </c>
      <c r="E4770" s="4">
        <f>2+5+8</f>
        <v>15</v>
      </c>
      <c r="F4770" s="129">
        <f>E4770+F4746</f>
        <v>116</v>
      </c>
    </row>
    <row r="4771" spans="1:6" ht="15.75" thickBot="1" x14ac:dyDescent="0.3">
      <c r="A4771" s="140" t="s">
        <v>42</v>
      </c>
      <c r="B4771" s="53">
        <v>44091</v>
      </c>
      <c r="C4771" s="4">
        <v>20</v>
      </c>
      <c r="D4771" s="29">
        <f t="shared" ref="D4771:D4777" si="397">C4771+D4747</f>
        <v>448</v>
      </c>
      <c r="F4771" s="129">
        <f>E4771+F4747</f>
        <v>14</v>
      </c>
    </row>
    <row r="4772" spans="1:6" ht="15.75" thickBot="1" x14ac:dyDescent="0.3">
      <c r="A4772" s="140" t="s">
        <v>43</v>
      </c>
      <c r="B4772" s="53">
        <v>44091</v>
      </c>
      <c r="C4772" s="4">
        <v>62</v>
      </c>
      <c r="D4772" s="29">
        <f t="shared" si="397"/>
        <v>570</v>
      </c>
      <c r="F4772" s="129">
        <f t="shared" si="396"/>
        <v>0</v>
      </c>
    </row>
    <row r="4773" spans="1:6" ht="15.75" thickBot="1" x14ac:dyDescent="0.3">
      <c r="A4773" s="140" t="s">
        <v>44</v>
      </c>
      <c r="B4773" s="53">
        <v>44091</v>
      </c>
      <c r="C4773" s="4">
        <v>86</v>
      </c>
      <c r="D4773" s="29">
        <f t="shared" si="397"/>
        <v>3362</v>
      </c>
      <c r="E4773" s="4">
        <f>3</f>
        <v>3</v>
      </c>
      <c r="F4773" s="129">
        <f>E4773+F4749</f>
        <v>42</v>
      </c>
    </row>
    <row r="4774" spans="1:6" ht="15.75" thickBot="1" x14ac:dyDescent="0.3">
      <c r="A4774" s="140" t="s">
        <v>29</v>
      </c>
      <c r="B4774" s="53">
        <v>44091</v>
      </c>
      <c r="C4774" s="4">
        <v>1362</v>
      </c>
      <c r="D4774" s="29">
        <f t="shared" si="397"/>
        <v>23034</v>
      </c>
      <c r="E4774" s="4">
        <f>3+2+8+3</f>
        <v>16</v>
      </c>
      <c r="F4774" s="129">
        <f>E4774+F4750</f>
        <v>252</v>
      </c>
    </row>
    <row r="4775" spans="1:6" ht="15.75" thickBot="1" x14ac:dyDescent="0.3">
      <c r="A4775" s="140" t="s">
        <v>45</v>
      </c>
      <c r="B4775" s="53">
        <v>44091</v>
      </c>
      <c r="C4775" s="4">
        <v>68</v>
      </c>
      <c r="D4775" s="29">
        <f t="shared" si="397"/>
        <v>2109</v>
      </c>
      <c r="E4775" s="4">
        <f>1+1</f>
        <v>2</v>
      </c>
      <c r="F4775" s="129">
        <f t="shared" si="396"/>
        <v>30</v>
      </c>
    </row>
    <row r="4776" spans="1:6" ht="15.75" thickBot="1" x14ac:dyDescent="0.3">
      <c r="A4776" s="140" t="s">
        <v>46</v>
      </c>
      <c r="B4776" s="53">
        <v>44091</v>
      </c>
      <c r="C4776" s="4">
        <v>49</v>
      </c>
      <c r="D4776" s="29">
        <f t="shared" si="397"/>
        <v>2950</v>
      </c>
      <c r="E4776" s="4">
        <f>1+1</f>
        <v>2</v>
      </c>
      <c r="F4776" s="129">
        <f>E4776+F4752</f>
        <v>52</v>
      </c>
    </row>
    <row r="4777" spans="1:6" ht="15.75" thickBot="1" x14ac:dyDescent="0.3">
      <c r="A4777" s="142" t="s">
        <v>47</v>
      </c>
      <c r="B4777" s="46">
        <v>44091</v>
      </c>
      <c r="C4777" s="47">
        <v>435</v>
      </c>
      <c r="D4777" s="85">
        <f t="shared" si="397"/>
        <v>8610</v>
      </c>
      <c r="E4777" s="47">
        <f>3+2+2</f>
        <v>7</v>
      </c>
      <c r="F4777" s="139">
        <f>E4777+F4753</f>
        <v>37</v>
      </c>
    </row>
    <row r="4778" spans="1:6" x14ac:dyDescent="0.25">
      <c r="A4778" s="64" t="s">
        <v>22</v>
      </c>
      <c r="B4778" s="49">
        <v>44092</v>
      </c>
      <c r="C4778" s="50">
        <v>5708</v>
      </c>
      <c r="D4778" s="131">
        <f>C4778+D4754</f>
        <v>360758</v>
      </c>
      <c r="E4778" s="50">
        <f>5+5+45+37</f>
        <v>92</v>
      </c>
      <c r="F4778" s="128">
        <f>E4778+F4754</f>
        <v>7578</v>
      </c>
    </row>
    <row r="4779" spans="1:6" x14ac:dyDescent="0.25">
      <c r="A4779" s="140" t="s">
        <v>20</v>
      </c>
      <c r="B4779" s="26">
        <v>44092</v>
      </c>
      <c r="C4779" s="4">
        <v>1070</v>
      </c>
      <c r="D4779" s="29">
        <f t="shared" ref="D4779:D4791" si="398">C4779+D4755</f>
        <v>115895</v>
      </c>
      <c r="E4779" s="4">
        <f>1+14+14</f>
        <v>29</v>
      </c>
      <c r="F4779" s="129">
        <f>E4779+F4755</f>
        <v>2833</v>
      </c>
    </row>
    <row r="4780" spans="1:6" x14ac:dyDescent="0.25">
      <c r="A4780" s="140" t="s">
        <v>35</v>
      </c>
      <c r="B4780" s="26">
        <v>44092</v>
      </c>
      <c r="C4780" s="4">
        <v>6</v>
      </c>
      <c r="D4780" s="29">
        <f t="shared" si="398"/>
        <v>183</v>
      </c>
      <c r="F4780" s="129">
        <f>E4780+F4756</f>
        <v>0</v>
      </c>
    </row>
    <row r="4781" spans="1:6" x14ac:dyDescent="0.25">
      <c r="A4781" s="140" t="s">
        <v>21</v>
      </c>
      <c r="B4781" s="26">
        <v>44092</v>
      </c>
      <c r="C4781" s="4">
        <v>104</v>
      </c>
      <c r="D4781" s="29">
        <f t="shared" si="398"/>
        <v>7213</v>
      </c>
      <c r="E4781" s="4">
        <f>1+2+1</f>
        <v>4</v>
      </c>
      <c r="F4781" s="129">
        <f t="shared" ref="F4781:F4799" si="399">E4781+F4757</f>
        <v>250</v>
      </c>
    </row>
    <row r="4782" spans="1:6" x14ac:dyDescent="0.25">
      <c r="A4782" s="140" t="s">
        <v>36</v>
      </c>
      <c r="B4782" s="26">
        <v>44092</v>
      </c>
      <c r="C4782" s="4">
        <v>56</v>
      </c>
      <c r="D4782" s="29">
        <f t="shared" si="398"/>
        <v>2100</v>
      </c>
      <c r="E4782" s="4">
        <f>1</f>
        <v>1</v>
      </c>
      <c r="F4782" s="129">
        <f t="shared" si="399"/>
        <v>25</v>
      </c>
    </row>
    <row r="4783" spans="1:6" x14ac:dyDescent="0.25">
      <c r="A4783" s="140" t="s">
        <v>27</v>
      </c>
      <c r="B4783" s="26">
        <v>44092</v>
      </c>
      <c r="C4783" s="4">
        <v>716</v>
      </c>
      <c r="D4783" s="29">
        <f t="shared" si="398"/>
        <v>17857</v>
      </c>
      <c r="E4783" s="4">
        <f>1+1+5+3</f>
        <v>10</v>
      </c>
      <c r="F4783" s="129">
        <f t="shared" si="399"/>
        <v>238</v>
      </c>
    </row>
    <row r="4784" spans="1:6" x14ac:dyDescent="0.25">
      <c r="A4784" s="140" t="s">
        <v>37</v>
      </c>
      <c r="B4784" s="26">
        <v>44092</v>
      </c>
      <c r="C4784" s="4">
        <v>35</v>
      </c>
      <c r="D4784" s="29">
        <f t="shared" si="398"/>
        <v>903</v>
      </c>
      <c r="F4784" s="129">
        <f>E4784+F4760</f>
        <v>6</v>
      </c>
    </row>
    <row r="4785" spans="1:6" x14ac:dyDescent="0.25">
      <c r="A4785" s="140" t="s">
        <v>38</v>
      </c>
      <c r="B4785" s="26">
        <v>44092</v>
      </c>
      <c r="C4785" s="4">
        <v>181</v>
      </c>
      <c r="D4785" s="29">
        <f t="shared" si="398"/>
        <v>5955</v>
      </c>
      <c r="E4785" s="4">
        <f>1+1</f>
        <v>2</v>
      </c>
      <c r="F4785" s="129">
        <f>E4785+F4761</f>
        <v>104</v>
      </c>
    </row>
    <row r="4786" spans="1:6" x14ac:dyDescent="0.25">
      <c r="A4786" s="140" t="s">
        <v>48</v>
      </c>
      <c r="B4786" s="26">
        <v>44092</v>
      </c>
      <c r="C4786" s="4">
        <v>-1</v>
      </c>
      <c r="D4786" s="29">
        <f t="shared" si="398"/>
        <v>92</v>
      </c>
      <c r="F4786" s="129">
        <f>E4786+F4762</f>
        <v>1</v>
      </c>
    </row>
    <row r="4787" spans="1:6" x14ac:dyDescent="0.25">
      <c r="A4787" s="140" t="s">
        <v>39</v>
      </c>
      <c r="B4787" s="26">
        <v>44092</v>
      </c>
      <c r="C4787" s="4">
        <v>256</v>
      </c>
      <c r="D4787" s="29">
        <f t="shared" si="398"/>
        <v>13600</v>
      </c>
      <c r="F4787" s="129">
        <f t="shared" si="399"/>
        <v>298</v>
      </c>
    </row>
    <row r="4788" spans="1:6" x14ac:dyDescent="0.25">
      <c r="A4788" s="140" t="s">
        <v>40</v>
      </c>
      <c r="B4788" s="26">
        <v>44092</v>
      </c>
      <c r="C4788" s="4">
        <v>14</v>
      </c>
      <c r="D4788" s="29">
        <f t="shared" si="398"/>
        <v>534</v>
      </c>
      <c r="F4788" s="129">
        <f t="shared" si="399"/>
        <v>4</v>
      </c>
    </row>
    <row r="4789" spans="1:6" x14ac:dyDescent="0.25">
      <c r="A4789" s="140" t="s">
        <v>28</v>
      </c>
      <c r="B4789" s="26">
        <v>44092</v>
      </c>
      <c r="C4789" s="4">
        <v>152</v>
      </c>
      <c r="D4789" s="29">
        <f t="shared" si="398"/>
        <v>3404</v>
      </c>
      <c r="E4789" s="4">
        <f>5</f>
        <v>5</v>
      </c>
      <c r="F4789" s="129">
        <f t="shared" si="399"/>
        <v>98</v>
      </c>
    </row>
    <row r="4790" spans="1:6" x14ac:dyDescent="0.25">
      <c r="A4790" s="140" t="s">
        <v>24</v>
      </c>
      <c r="B4790" s="26">
        <v>44092</v>
      </c>
      <c r="C4790" s="4">
        <v>578</v>
      </c>
      <c r="D4790" s="29">
        <f t="shared" si="398"/>
        <v>17587</v>
      </c>
      <c r="E4790" s="4">
        <f>3+2</f>
        <v>5</v>
      </c>
      <c r="F4790" s="129">
        <f t="shared" si="399"/>
        <v>169</v>
      </c>
    </row>
    <row r="4791" spans="1:6" x14ac:dyDescent="0.25">
      <c r="A4791" s="140" t="s">
        <v>30</v>
      </c>
      <c r="B4791" s="26">
        <v>44092</v>
      </c>
      <c r="C4791" s="4">
        <v>3</v>
      </c>
      <c r="D4791" s="29">
        <f t="shared" si="398"/>
        <v>68</v>
      </c>
      <c r="F4791" s="129">
        <f t="shared" si="399"/>
        <v>2</v>
      </c>
    </row>
    <row r="4792" spans="1:6" x14ac:dyDescent="0.25">
      <c r="A4792" s="140" t="s">
        <v>26</v>
      </c>
      <c r="B4792" s="26">
        <v>44092</v>
      </c>
      <c r="C4792" s="4">
        <v>150</v>
      </c>
      <c r="D4792" s="29">
        <f>C4792+D4768</f>
        <v>5716</v>
      </c>
      <c r="E4792" s="4">
        <f>4+2</f>
        <v>6</v>
      </c>
      <c r="F4792" s="129">
        <f t="shared" si="399"/>
        <v>67</v>
      </c>
    </row>
    <row r="4793" spans="1:6" x14ac:dyDescent="0.25">
      <c r="A4793" s="140" t="s">
        <v>25</v>
      </c>
      <c r="B4793" s="26">
        <v>44092</v>
      </c>
      <c r="C4793" s="4">
        <v>217</v>
      </c>
      <c r="D4793" s="29">
        <f>C4793+D4769</f>
        <v>9969</v>
      </c>
      <c r="E4793" s="4">
        <f>3+3</f>
        <v>6</v>
      </c>
      <c r="F4793" s="129">
        <f t="shared" si="399"/>
        <v>188</v>
      </c>
    </row>
    <row r="4794" spans="1:6" x14ac:dyDescent="0.25">
      <c r="A4794" s="140" t="s">
        <v>41</v>
      </c>
      <c r="B4794" s="26">
        <v>44092</v>
      </c>
      <c r="C4794" s="4">
        <v>450</v>
      </c>
      <c r="D4794" s="29">
        <f>C4794+D4770</f>
        <v>8491</v>
      </c>
      <c r="E4794" s="4">
        <f>2+4+8+4</f>
        <v>18</v>
      </c>
      <c r="F4794" s="129">
        <f>E4794+F4770</f>
        <v>134</v>
      </c>
    </row>
    <row r="4795" spans="1:6" x14ac:dyDescent="0.25">
      <c r="A4795" s="140" t="s">
        <v>42</v>
      </c>
      <c r="B4795" s="26">
        <v>44092</v>
      </c>
      <c r="C4795" s="4">
        <v>15</v>
      </c>
      <c r="D4795" s="29">
        <f t="shared" ref="D4795:D4801" si="400">C4795+D4771</f>
        <v>463</v>
      </c>
      <c r="E4795" s="4">
        <f>4+2</f>
        <v>6</v>
      </c>
      <c r="F4795" s="129">
        <f>E4795+F4771</f>
        <v>20</v>
      </c>
    </row>
    <row r="4796" spans="1:6" x14ac:dyDescent="0.25">
      <c r="A4796" s="140" t="s">
        <v>43</v>
      </c>
      <c r="B4796" s="26">
        <v>44092</v>
      </c>
      <c r="C4796" s="4">
        <v>78</v>
      </c>
      <c r="D4796" s="29">
        <f t="shared" si="400"/>
        <v>648</v>
      </c>
      <c r="F4796" s="129">
        <f t="shared" si="399"/>
        <v>0</v>
      </c>
    </row>
    <row r="4797" spans="1:6" x14ac:dyDescent="0.25">
      <c r="A4797" s="140" t="s">
        <v>44</v>
      </c>
      <c r="B4797" s="26">
        <v>44092</v>
      </c>
      <c r="C4797" s="4">
        <v>107</v>
      </c>
      <c r="D4797" s="29">
        <f t="shared" si="400"/>
        <v>3469</v>
      </c>
      <c r="E4797" s="4">
        <f>1+1</f>
        <v>2</v>
      </c>
      <c r="F4797" s="129">
        <f>E4797+F4773</f>
        <v>44</v>
      </c>
    </row>
    <row r="4798" spans="1:6" x14ac:dyDescent="0.25">
      <c r="A4798" s="140" t="s">
        <v>29</v>
      </c>
      <c r="B4798" s="26">
        <v>44092</v>
      </c>
      <c r="C4798" s="4">
        <v>1347</v>
      </c>
      <c r="D4798" s="29">
        <f t="shared" si="400"/>
        <v>24381</v>
      </c>
      <c r="E4798" s="4">
        <f>1+1+2+6</f>
        <v>10</v>
      </c>
      <c r="F4798" s="129">
        <f>E4798+F4774</f>
        <v>262</v>
      </c>
    </row>
    <row r="4799" spans="1:6" x14ac:dyDescent="0.25">
      <c r="A4799" s="140" t="s">
        <v>45</v>
      </c>
      <c r="B4799" s="26">
        <v>44092</v>
      </c>
      <c r="C4799" s="4">
        <v>137</v>
      </c>
      <c r="D4799" s="29">
        <f t="shared" si="400"/>
        <v>2246</v>
      </c>
      <c r="F4799" s="129">
        <f t="shared" si="399"/>
        <v>30</v>
      </c>
    </row>
    <row r="4800" spans="1:6" x14ac:dyDescent="0.25">
      <c r="A4800" s="140" t="s">
        <v>46</v>
      </c>
      <c r="B4800" s="26">
        <v>44092</v>
      </c>
      <c r="C4800" s="4">
        <v>70</v>
      </c>
      <c r="D4800" s="29">
        <f t="shared" si="400"/>
        <v>3020</v>
      </c>
      <c r="E4800" s="4">
        <f>1</f>
        <v>1</v>
      </c>
      <c r="F4800" s="129">
        <f>E4800+F4776</f>
        <v>53</v>
      </c>
    </row>
    <row r="4801" spans="1:6" ht="15.75" thickBot="1" x14ac:dyDescent="0.3">
      <c r="A4801" s="141" t="s">
        <v>47</v>
      </c>
      <c r="B4801" s="53">
        <v>44092</v>
      </c>
      <c r="C4801" s="54">
        <v>496</v>
      </c>
      <c r="D4801" s="132">
        <f t="shared" si="400"/>
        <v>9106</v>
      </c>
      <c r="E4801" s="54"/>
      <c r="F4801" s="130">
        <f>E4801+F4777</f>
        <v>37</v>
      </c>
    </row>
    <row r="4802" spans="1:6" ht="15.75" thickBot="1" x14ac:dyDescent="0.3">
      <c r="A4802" s="64" t="s">
        <v>22</v>
      </c>
      <c r="B4802" s="53">
        <v>44093</v>
      </c>
      <c r="C4802" s="48">
        <v>3877</v>
      </c>
      <c r="D4802" s="131">
        <f>C4802+D4778</f>
        <v>364635</v>
      </c>
      <c r="E4802" s="48">
        <f>10+14+13+19</f>
        <v>56</v>
      </c>
      <c r="F4802" s="128">
        <f>E4802+F4778</f>
        <v>7634</v>
      </c>
    </row>
    <row r="4803" spans="1:6" ht="15.75" thickBot="1" x14ac:dyDescent="0.3">
      <c r="A4803" s="140" t="s">
        <v>20</v>
      </c>
      <c r="B4803" s="53">
        <v>44093</v>
      </c>
      <c r="C4803" s="4">
        <v>683</v>
      </c>
      <c r="D4803" s="29">
        <f t="shared" ref="D4803:D4815" si="401">C4803+D4779</f>
        <v>116578</v>
      </c>
      <c r="E4803" s="4">
        <f>4+4+2</f>
        <v>10</v>
      </c>
      <c r="F4803" s="129">
        <f>E4803+F4779</f>
        <v>2843</v>
      </c>
    </row>
    <row r="4804" spans="1:6" ht="15.75" thickBot="1" x14ac:dyDescent="0.3">
      <c r="A4804" s="140" t="s">
        <v>35</v>
      </c>
      <c r="B4804" s="53">
        <v>44093</v>
      </c>
      <c r="C4804" s="4">
        <v>7</v>
      </c>
      <c r="D4804" s="29">
        <f t="shared" si="401"/>
        <v>190</v>
      </c>
      <c r="F4804" s="129">
        <f>E4804+F4780</f>
        <v>0</v>
      </c>
    </row>
    <row r="4805" spans="1:6" ht="15.75" thickBot="1" x14ac:dyDescent="0.3">
      <c r="A4805" s="140" t="s">
        <v>21</v>
      </c>
      <c r="B4805" s="53">
        <v>44093</v>
      </c>
      <c r="C4805" s="4">
        <v>132</v>
      </c>
      <c r="D4805" s="29">
        <f t="shared" si="401"/>
        <v>7345</v>
      </c>
      <c r="E4805" s="4">
        <f>1</f>
        <v>1</v>
      </c>
      <c r="F4805" s="129">
        <f t="shared" ref="F4805:F4823" si="402">E4805+F4781</f>
        <v>251</v>
      </c>
    </row>
    <row r="4806" spans="1:6" ht="15.75" thickBot="1" x14ac:dyDescent="0.3">
      <c r="A4806" s="140" t="s">
        <v>36</v>
      </c>
      <c r="B4806" s="53">
        <v>44093</v>
      </c>
      <c r="C4806" s="4">
        <v>81</v>
      </c>
      <c r="D4806" s="29">
        <f t="shared" si="401"/>
        <v>2181</v>
      </c>
      <c r="F4806" s="129">
        <f t="shared" si="402"/>
        <v>25</v>
      </c>
    </row>
    <row r="4807" spans="1:6" ht="15.75" thickBot="1" x14ac:dyDescent="0.3">
      <c r="A4807" s="140" t="s">
        <v>27</v>
      </c>
      <c r="B4807" s="53">
        <v>44093</v>
      </c>
      <c r="C4807" s="4">
        <v>751</v>
      </c>
      <c r="D4807" s="29">
        <f t="shared" si="401"/>
        <v>18608</v>
      </c>
      <c r="E4807" s="4">
        <f>1+1+7</f>
        <v>9</v>
      </c>
      <c r="F4807" s="129">
        <f t="shared" si="402"/>
        <v>247</v>
      </c>
    </row>
    <row r="4808" spans="1:6" ht="15.75" thickBot="1" x14ac:dyDescent="0.3">
      <c r="A4808" s="140" t="s">
        <v>37</v>
      </c>
      <c r="B4808" s="53">
        <v>44093</v>
      </c>
      <c r="C4808" s="4">
        <v>37</v>
      </c>
      <c r="D4808" s="29">
        <f t="shared" si="401"/>
        <v>940</v>
      </c>
      <c r="E4808" s="4">
        <f>5</f>
        <v>5</v>
      </c>
      <c r="F4808" s="129">
        <f>E4808+F4784</f>
        <v>11</v>
      </c>
    </row>
    <row r="4809" spans="1:6" ht="15.75" thickBot="1" x14ac:dyDescent="0.3">
      <c r="A4809" s="140" t="s">
        <v>38</v>
      </c>
      <c r="B4809" s="53">
        <v>44093</v>
      </c>
      <c r="C4809" s="4">
        <v>149</v>
      </c>
      <c r="D4809" s="29">
        <f t="shared" si="401"/>
        <v>6104</v>
      </c>
      <c r="E4809" s="4">
        <f>1+1</f>
        <v>2</v>
      </c>
      <c r="F4809" s="129">
        <f>E4809+F4785</f>
        <v>106</v>
      </c>
    </row>
    <row r="4810" spans="1:6" ht="15.75" thickBot="1" x14ac:dyDescent="0.3">
      <c r="A4810" s="140" t="s">
        <v>48</v>
      </c>
      <c r="B4810" s="53">
        <v>44093</v>
      </c>
      <c r="C4810" s="4">
        <v>9</v>
      </c>
      <c r="D4810" s="29">
        <f t="shared" si="401"/>
        <v>101</v>
      </c>
      <c r="F4810" s="129">
        <f>E4810+F4786</f>
        <v>1</v>
      </c>
    </row>
    <row r="4811" spans="1:6" ht="15.75" thickBot="1" x14ac:dyDescent="0.3">
      <c r="A4811" s="140" t="s">
        <v>39</v>
      </c>
      <c r="B4811" s="53">
        <v>44093</v>
      </c>
      <c r="C4811" s="4">
        <v>295</v>
      </c>
      <c r="D4811" s="29">
        <f t="shared" si="401"/>
        <v>13895</v>
      </c>
      <c r="E4811" s="4">
        <f>5+3</f>
        <v>8</v>
      </c>
      <c r="F4811" s="129">
        <f t="shared" si="402"/>
        <v>306</v>
      </c>
    </row>
    <row r="4812" spans="1:6" ht="15.75" thickBot="1" x14ac:dyDescent="0.3">
      <c r="A4812" s="140" t="s">
        <v>40</v>
      </c>
      <c r="B4812" s="53">
        <v>44093</v>
      </c>
      <c r="C4812" s="4">
        <v>13</v>
      </c>
      <c r="D4812" s="29">
        <f t="shared" si="401"/>
        <v>547</v>
      </c>
      <c r="F4812" s="129">
        <f t="shared" si="402"/>
        <v>4</v>
      </c>
    </row>
    <row r="4813" spans="1:6" ht="15.75" thickBot="1" x14ac:dyDescent="0.3">
      <c r="A4813" s="140" t="s">
        <v>28</v>
      </c>
      <c r="B4813" s="53">
        <v>44093</v>
      </c>
      <c r="C4813" s="4">
        <v>86</v>
      </c>
      <c r="D4813" s="29">
        <f t="shared" si="401"/>
        <v>3490</v>
      </c>
      <c r="F4813" s="129">
        <f t="shared" si="402"/>
        <v>98</v>
      </c>
    </row>
    <row r="4814" spans="1:6" ht="15.75" thickBot="1" x14ac:dyDescent="0.3">
      <c r="A4814" s="140" t="s">
        <v>24</v>
      </c>
      <c r="B4814" s="53">
        <v>44093</v>
      </c>
      <c r="C4814" s="4">
        <v>673</v>
      </c>
      <c r="D4814" s="29">
        <f t="shared" si="401"/>
        <v>18260</v>
      </c>
      <c r="E4814" s="4">
        <f>1+1</f>
        <v>2</v>
      </c>
      <c r="F4814" s="129">
        <f t="shared" si="402"/>
        <v>171</v>
      </c>
    </row>
    <row r="4815" spans="1:6" ht="15.75" thickBot="1" x14ac:dyDescent="0.3">
      <c r="A4815" s="140" t="s">
        <v>30</v>
      </c>
      <c r="B4815" s="53">
        <v>44093</v>
      </c>
      <c r="C4815" s="4">
        <v>1</v>
      </c>
      <c r="D4815" s="29">
        <f t="shared" si="401"/>
        <v>69</v>
      </c>
      <c r="F4815" s="129">
        <f t="shared" si="402"/>
        <v>2</v>
      </c>
    </row>
    <row r="4816" spans="1:6" ht="15.75" thickBot="1" x14ac:dyDescent="0.3">
      <c r="A4816" s="140" t="s">
        <v>26</v>
      </c>
      <c r="B4816" s="53">
        <v>44093</v>
      </c>
      <c r="C4816" s="4">
        <v>141</v>
      </c>
      <c r="D4816" s="29">
        <f>C4816+D4792</f>
        <v>5857</v>
      </c>
      <c r="E4816" s="4">
        <f>2+1</f>
        <v>3</v>
      </c>
      <c r="F4816" s="129">
        <f t="shared" si="402"/>
        <v>70</v>
      </c>
    </row>
    <row r="4817" spans="1:6" ht="15.75" thickBot="1" x14ac:dyDescent="0.3">
      <c r="A4817" s="140" t="s">
        <v>25</v>
      </c>
      <c r="B4817" s="53">
        <v>44093</v>
      </c>
      <c r="C4817" s="4">
        <v>245</v>
      </c>
      <c r="D4817" s="29">
        <f>C4817+D4793</f>
        <v>10214</v>
      </c>
      <c r="E4817" s="4">
        <f>3+2+2</f>
        <v>7</v>
      </c>
      <c r="F4817" s="129">
        <f t="shared" si="402"/>
        <v>195</v>
      </c>
    </row>
    <row r="4818" spans="1:6" ht="15.75" thickBot="1" x14ac:dyDescent="0.3">
      <c r="A4818" s="140" t="s">
        <v>41</v>
      </c>
      <c r="B4818" s="53">
        <v>44093</v>
      </c>
      <c r="C4818" s="4">
        <v>438</v>
      </c>
      <c r="D4818" s="29">
        <f>C4818+D4794</f>
        <v>8929</v>
      </c>
      <c r="E4818" s="4">
        <f>1+12+8</f>
        <v>21</v>
      </c>
      <c r="F4818" s="129">
        <f>E4818+F4794</f>
        <v>155</v>
      </c>
    </row>
    <row r="4819" spans="1:6" ht="15.75" thickBot="1" x14ac:dyDescent="0.3">
      <c r="A4819" s="140" t="s">
        <v>42</v>
      </c>
      <c r="B4819" s="53">
        <v>44093</v>
      </c>
      <c r="C4819" s="4">
        <v>1</v>
      </c>
      <c r="D4819" s="29">
        <f t="shared" ref="D4819:D4825" si="403">C4819+D4795</f>
        <v>464</v>
      </c>
      <c r="E4819" s="4">
        <f>1</f>
        <v>1</v>
      </c>
      <c r="F4819" s="129">
        <f>E4819+F4795</f>
        <v>21</v>
      </c>
    </row>
    <row r="4820" spans="1:6" ht="15.75" thickBot="1" x14ac:dyDescent="0.3">
      <c r="A4820" s="140" t="s">
        <v>43</v>
      </c>
      <c r="B4820" s="53">
        <v>44093</v>
      </c>
      <c r="C4820" s="4">
        <v>24</v>
      </c>
      <c r="D4820" s="29">
        <f t="shared" si="403"/>
        <v>672</v>
      </c>
      <c r="F4820" s="129">
        <f t="shared" si="402"/>
        <v>0</v>
      </c>
    </row>
    <row r="4821" spans="1:6" ht="15.75" thickBot="1" x14ac:dyDescent="0.3">
      <c r="A4821" s="140" t="s">
        <v>44</v>
      </c>
      <c r="B4821" s="53">
        <v>44093</v>
      </c>
      <c r="C4821" s="4">
        <v>195</v>
      </c>
      <c r="D4821" s="29">
        <f t="shared" si="403"/>
        <v>3664</v>
      </c>
      <c r="F4821" s="129">
        <f>E4821+F4797</f>
        <v>44</v>
      </c>
    </row>
    <row r="4822" spans="1:6" ht="15.75" thickBot="1" x14ac:dyDescent="0.3">
      <c r="A4822" s="140" t="s">
        <v>29</v>
      </c>
      <c r="B4822" s="53">
        <v>44093</v>
      </c>
      <c r="C4822" s="4">
        <v>1137</v>
      </c>
      <c r="D4822" s="29">
        <f t="shared" si="403"/>
        <v>25518</v>
      </c>
      <c r="E4822" s="4">
        <f>3+1</f>
        <v>4</v>
      </c>
      <c r="F4822" s="129">
        <f>E4822+F4798</f>
        <v>266</v>
      </c>
    </row>
    <row r="4823" spans="1:6" ht="15.75" thickBot="1" x14ac:dyDescent="0.3">
      <c r="A4823" s="140" t="s">
        <v>45</v>
      </c>
      <c r="B4823" s="53">
        <v>44093</v>
      </c>
      <c r="C4823" s="4">
        <v>56</v>
      </c>
      <c r="D4823" s="29">
        <f t="shared" si="403"/>
        <v>2302</v>
      </c>
      <c r="F4823" s="129">
        <f t="shared" si="402"/>
        <v>30</v>
      </c>
    </row>
    <row r="4824" spans="1:6" ht="15.75" thickBot="1" x14ac:dyDescent="0.3">
      <c r="A4824" s="140" t="s">
        <v>46</v>
      </c>
      <c r="B4824" s="53">
        <v>44093</v>
      </c>
      <c r="C4824" s="4">
        <v>98</v>
      </c>
      <c r="D4824" s="29">
        <f t="shared" si="403"/>
        <v>3118</v>
      </c>
      <c r="F4824" s="129">
        <f>E4824+F4800</f>
        <v>53</v>
      </c>
    </row>
    <row r="4825" spans="1:6" ht="15.75" thickBot="1" x14ac:dyDescent="0.3">
      <c r="A4825" s="141" t="s">
        <v>47</v>
      </c>
      <c r="B4825" s="53">
        <v>44093</v>
      </c>
      <c r="C4825" s="4">
        <v>147</v>
      </c>
      <c r="D4825" s="132">
        <f t="shared" si="403"/>
        <v>9253</v>
      </c>
      <c r="E4825" s="4">
        <f>1+7+6</f>
        <v>14</v>
      </c>
      <c r="F4825" s="130">
        <f>E4825+F4801</f>
        <v>51</v>
      </c>
    </row>
    <row r="4826" spans="1:6" ht="15.75" thickBot="1" x14ac:dyDescent="0.3">
      <c r="A4826" s="64" t="s">
        <v>22</v>
      </c>
      <c r="B4826" s="53">
        <v>44094</v>
      </c>
      <c r="C4826" s="4">
        <v>3645</v>
      </c>
      <c r="D4826" s="131">
        <f>C4826+D4802</f>
        <v>368280</v>
      </c>
      <c r="E4826" s="4">
        <f>16+19+47+35+1</f>
        <v>118</v>
      </c>
      <c r="F4826" s="128">
        <f>E4826+F4802</f>
        <v>7752</v>
      </c>
    </row>
    <row r="4827" spans="1:6" ht="15.75" thickBot="1" x14ac:dyDescent="0.3">
      <c r="A4827" s="140" t="s">
        <v>20</v>
      </c>
      <c r="B4827" s="53">
        <v>44094</v>
      </c>
      <c r="C4827" s="4">
        <v>696</v>
      </c>
      <c r="D4827" s="29">
        <f t="shared" ref="D4827:D4839" si="404">C4827+D4803</f>
        <v>117274</v>
      </c>
      <c r="E4827" s="4">
        <f>1+3+3+2</f>
        <v>9</v>
      </c>
      <c r="F4827" s="129">
        <f>E4827+F4803</f>
        <v>2852</v>
      </c>
    </row>
    <row r="4828" spans="1:6" ht="15.75" thickBot="1" x14ac:dyDescent="0.3">
      <c r="A4828" s="140" t="s">
        <v>35</v>
      </c>
      <c r="B4828" s="53">
        <v>44094</v>
      </c>
      <c r="C4828" s="4">
        <v>1</v>
      </c>
      <c r="D4828" s="29">
        <f t="shared" si="404"/>
        <v>191</v>
      </c>
      <c r="F4828" s="129">
        <f>E4828+F4804</f>
        <v>0</v>
      </c>
    </row>
    <row r="4829" spans="1:6" ht="15.75" thickBot="1" x14ac:dyDescent="0.3">
      <c r="A4829" s="140" t="s">
        <v>21</v>
      </c>
      <c r="B4829" s="53">
        <v>44094</v>
      </c>
      <c r="C4829" s="4">
        <v>65</v>
      </c>
      <c r="D4829" s="29">
        <f t="shared" si="404"/>
        <v>7410</v>
      </c>
      <c r="E4829" s="4">
        <f>1+1+2</f>
        <v>4</v>
      </c>
      <c r="F4829" s="129">
        <f t="shared" ref="F4829:F4847" si="405">E4829+F4805</f>
        <v>255</v>
      </c>
    </row>
    <row r="4830" spans="1:6" ht="15.75" thickBot="1" x14ac:dyDescent="0.3">
      <c r="A4830" s="140" t="s">
        <v>36</v>
      </c>
      <c r="B4830" s="53">
        <v>44094</v>
      </c>
      <c r="C4830" s="4">
        <v>126</v>
      </c>
      <c r="D4830" s="29">
        <f t="shared" si="404"/>
        <v>2307</v>
      </c>
      <c r="F4830" s="129">
        <f t="shared" si="405"/>
        <v>25</v>
      </c>
    </row>
    <row r="4831" spans="1:6" ht="15.75" thickBot="1" x14ac:dyDescent="0.3">
      <c r="A4831" s="140" t="s">
        <v>27</v>
      </c>
      <c r="B4831" s="53">
        <v>44094</v>
      </c>
      <c r="C4831" s="4">
        <v>600</v>
      </c>
      <c r="D4831" s="29">
        <f t="shared" si="404"/>
        <v>19208</v>
      </c>
      <c r="E4831" s="4">
        <f>5+3</f>
        <v>8</v>
      </c>
      <c r="F4831" s="129">
        <f t="shared" si="405"/>
        <v>255</v>
      </c>
    </row>
    <row r="4832" spans="1:6" ht="15.75" thickBot="1" x14ac:dyDescent="0.3">
      <c r="A4832" s="140" t="s">
        <v>37</v>
      </c>
      <c r="B4832" s="53">
        <v>44094</v>
      </c>
      <c r="C4832" s="4">
        <v>28</v>
      </c>
      <c r="D4832" s="29">
        <f t="shared" si="404"/>
        <v>968</v>
      </c>
      <c r="E4832" s="4">
        <f>1+2</f>
        <v>3</v>
      </c>
      <c r="F4832" s="129">
        <f>E4832+F4808</f>
        <v>14</v>
      </c>
    </row>
    <row r="4833" spans="1:6" ht="15.75" thickBot="1" x14ac:dyDescent="0.3">
      <c r="A4833" s="140" t="s">
        <v>38</v>
      </c>
      <c r="B4833" s="53">
        <v>44094</v>
      </c>
      <c r="C4833" s="4">
        <v>102</v>
      </c>
      <c r="D4833" s="29">
        <f t="shared" si="404"/>
        <v>6206</v>
      </c>
      <c r="E4833" s="4">
        <f>2</f>
        <v>2</v>
      </c>
      <c r="F4833" s="129">
        <f>E4833+F4809</f>
        <v>108</v>
      </c>
    </row>
    <row r="4834" spans="1:6" ht="15.75" thickBot="1" x14ac:dyDescent="0.3">
      <c r="A4834" s="140" t="s">
        <v>48</v>
      </c>
      <c r="B4834" s="53">
        <v>44094</v>
      </c>
      <c r="C4834" s="4">
        <v>0</v>
      </c>
      <c r="D4834" s="29">
        <f t="shared" si="404"/>
        <v>101</v>
      </c>
      <c r="F4834" s="129">
        <f>E4834+F4810</f>
        <v>1</v>
      </c>
    </row>
    <row r="4835" spans="1:6" ht="15.75" thickBot="1" x14ac:dyDescent="0.3">
      <c r="A4835" s="140" t="s">
        <v>39</v>
      </c>
      <c r="B4835" s="53">
        <v>44094</v>
      </c>
      <c r="C4835" s="4">
        <v>255</v>
      </c>
      <c r="D4835" s="29">
        <f t="shared" si="404"/>
        <v>14150</v>
      </c>
      <c r="E4835" s="4">
        <f>7+7+5+1+1</f>
        <v>21</v>
      </c>
      <c r="F4835" s="129">
        <f t="shared" si="405"/>
        <v>327</v>
      </c>
    </row>
    <row r="4836" spans="1:6" ht="15.75" thickBot="1" x14ac:dyDescent="0.3">
      <c r="A4836" s="140" t="s">
        <v>40</v>
      </c>
      <c r="B4836" s="53">
        <v>44094</v>
      </c>
      <c r="C4836" s="4">
        <v>21</v>
      </c>
      <c r="D4836" s="29">
        <f t="shared" si="404"/>
        <v>568</v>
      </c>
      <c r="F4836" s="129">
        <f t="shared" si="405"/>
        <v>4</v>
      </c>
    </row>
    <row r="4837" spans="1:6" ht="15.75" thickBot="1" x14ac:dyDescent="0.3">
      <c r="A4837" s="140" t="s">
        <v>28</v>
      </c>
      <c r="B4837" s="53">
        <v>44094</v>
      </c>
      <c r="C4837" s="4">
        <v>260</v>
      </c>
      <c r="D4837" s="29">
        <f t="shared" si="404"/>
        <v>3750</v>
      </c>
      <c r="E4837" s="4">
        <f>1</f>
        <v>1</v>
      </c>
      <c r="F4837" s="129">
        <f t="shared" si="405"/>
        <v>99</v>
      </c>
    </row>
    <row r="4838" spans="1:6" ht="15.75" thickBot="1" x14ac:dyDescent="0.3">
      <c r="A4838" s="140" t="s">
        <v>24</v>
      </c>
      <c r="B4838" s="53">
        <v>44094</v>
      </c>
      <c r="C4838" s="4">
        <v>590</v>
      </c>
      <c r="D4838" s="29">
        <f t="shared" si="404"/>
        <v>18850</v>
      </c>
      <c r="E4838" s="4">
        <f>2+2+2+2</f>
        <v>8</v>
      </c>
      <c r="F4838" s="129">
        <f t="shared" si="405"/>
        <v>179</v>
      </c>
    </row>
    <row r="4839" spans="1:6" ht="15.75" thickBot="1" x14ac:dyDescent="0.3">
      <c r="A4839" s="140" t="s">
        <v>30</v>
      </c>
      <c r="B4839" s="53">
        <v>44094</v>
      </c>
      <c r="C4839" s="4">
        <v>1</v>
      </c>
      <c r="D4839" s="29">
        <f t="shared" si="404"/>
        <v>70</v>
      </c>
      <c r="F4839" s="129">
        <f t="shared" si="405"/>
        <v>2</v>
      </c>
    </row>
    <row r="4840" spans="1:6" ht="15.75" thickBot="1" x14ac:dyDescent="0.3">
      <c r="A4840" s="140" t="s">
        <v>26</v>
      </c>
      <c r="B4840" s="53">
        <v>44094</v>
      </c>
      <c r="C4840" s="4">
        <v>155</v>
      </c>
      <c r="D4840" s="29">
        <f>C4840+D4816</f>
        <v>6012</v>
      </c>
      <c r="E4840" s="4">
        <f>2+1</f>
        <v>3</v>
      </c>
      <c r="F4840" s="129">
        <f t="shared" si="405"/>
        <v>73</v>
      </c>
    </row>
    <row r="4841" spans="1:6" ht="15.75" thickBot="1" x14ac:dyDescent="0.3">
      <c r="A4841" s="140" t="s">
        <v>25</v>
      </c>
      <c r="B4841" s="53">
        <v>44094</v>
      </c>
      <c r="C4841" s="4">
        <v>132</v>
      </c>
      <c r="D4841" s="29">
        <f>C4841+D4817</f>
        <v>10346</v>
      </c>
      <c r="F4841" s="129">
        <f t="shared" si="405"/>
        <v>195</v>
      </c>
    </row>
    <row r="4842" spans="1:6" ht="15.75" thickBot="1" x14ac:dyDescent="0.3">
      <c r="A4842" s="140" t="s">
        <v>41</v>
      </c>
      <c r="B4842" s="53">
        <v>44094</v>
      </c>
      <c r="C4842" s="4">
        <v>339</v>
      </c>
      <c r="D4842" s="29">
        <f>C4842+D4818</f>
        <v>9268</v>
      </c>
      <c r="E4842" s="4">
        <f>2+3+8+3</f>
        <v>16</v>
      </c>
      <c r="F4842" s="129">
        <f>E4842+F4818</f>
        <v>171</v>
      </c>
    </row>
    <row r="4843" spans="1:6" ht="15.75" thickBot="1" x14ac:dyDescent="0.3">
      <c r="A4843" s="140" t="s">
        <v>42</v>
      </c>
      <c r="B4843" s="53">
        <v>44094</v>
      </c>
      <c r="C4843" s="4">
        <v>8</v>
      </c>
      <c r="D4843" s="29">
        <f t="shared" ref="D4843:D4849" si="406">C4843+D4819</f>
        <v>472</v>
      </c>
      <c r="F4843" s="129">
        <f>E4843+F4819</f>
        <v>21</v>
      </c>
    </row>
    <row r="4844" spans="1:6" ht="15.75" thickBot="1" x14ac:dyDescent="0.3">
      <c r="A4844" s="140" t="s">
        <v>43</v>
      </c>
      <c r="B4844" s="53">
        <v>44094</v>
      </c>
      <c r="C4844" s="4">
        <v>26</v>
      </c>
      <c r="D4844" s="29">
        <f t="shared" si="406"/>
        <v>698</v>
      </c>
      <c r="F4844" s="129">
        <f t="shared" si="405"/>
        <v>0</v>
      </c>
    </row>
    <row r="4845" spans="1:6" ht="15.75" thickBot="1" x14ac:dyDescent="0.3">
      <c r="A4845" s="140" t="s">
        <v>44</v>
      </c>
      <c r="B4845" s="53">
        <v>44094</v>
      </c>
      <c r="C4845" s="4">
        <v>83</v>
      </c>
      <c r="D4845" s="29">
        <f t="shared" si="406"/>
        <v>3747</v>
      </c>
      <c r="F4845" s="129">
        <f>E4845+F4821</f>
        <v>44</v>
      </c>
    </row>
    <row r="4846" spans="1:6" ht="15.75" thickBot="1" x14ac:dyDescent="0.3">
      <c r="A4846" s="140" t="s">
        <v>29</v>
      </c>
      <c r="B4846" s="53">
        <v>44094</v>
      </c>
      <c r="C4846" s="4">
        <v>877</v>
      </c>
      <c r="D4846" s="29">
        <f t="shared" si="406"/>
        <v>26395</v>
      </c>
      <c r="E4846" s="4">
        <f>1+1+3</f>
        <v>5</v>
      </c>
      <c r="F4846" s="129">
        <f>E4846+F4822</f>
        <v>271</v>
      </c>
    </row>
    <row r="4847" spans="1:6" ht="15.75" thickBot="1" x14ac:dyDescent="0.3">
      <c r="A4847" s="140" t="s">
        <v>45</v>
      </c>
      <c r="B4847" s="53">
        <v>44094</v>
      </c>
      <c r="C4847" s="4">
        <v>70</v>
      </c>
      <c r="D4847" s="29">
        <f t="shared" si="406"/>
        <v>2372</v>
      </c>
      <c r="E4847" s="4">
        <f>3+1+1</f>
        <v>5</v>
      </c>
      <c r="F4847" s="129">
        <f t="shared" si="405"/>
        <v>35</v>
      </c>
    </row>
    <row r="4848" spans="1:6" ht="15.75" thickBot="1" x14ac:dyDescent="0.3">
      <c r="A4848" s="140" t="s">
        <v>46</v>
      </c>
      <c r="B4848" s="53">
        <v>44094</v>
      </c>
      <c r="C4848" s="4">
        <v>79</v>
      </c>
      <c r="D4848" s="29">
        <f t="shared" si="406"/>
        <v>3197</v>
      </c>
      <c r="E4848" s="4">
        <f>1</f>
        <v>1</v>
      </c>
      <c r="F4848" s="129">
        <f>E4848+F4824</f>
        <v>54</v>
      </c>
    </row>
    <row r="4849" spans="1:6" ht="15.75" thickBot="1" x14ac:dyDescent="0.3">
      <c r="A4849" s="141" t="s">
        <v>47</v>
      </c>
      <c r="B4849" s="53">
        <v>44094</v>
      </c>
      <c r="C4849" s="4">
        <v>272</v>
      </c>
      <c r="D4849" s="132">
        <f t="shared" si="406"/>
        <v>9525</v>
      </c>
      <c r="E4849" s="4">
        <f>21+14+11+4</f>
        <v>50</v>
      </c>
      <c r="F4849" s="130">
        <f>E4849+F4825</f>
        <v>101</v>
      </c>
    </row>
    <row r="4850" spans="1:6" ht="15.75" thickBot="1" x14ac:dyDescent="0.3">
      <c r="A4850" s="64" t="s">
        <v>22</v>
      </c>
      <c r="B4850" s="53">
        <v>44095</v>
      </c>
      <c r="C4850" s="4">
        <v>3700</v>
      </c>
      <c r="D4850" s="131">
        <f>C4850+D4826</f>
        <v>371980</v>
      </c>
      <c r="E4850" s="4">
        <v>275</v>
      </c>
      <c r="F4850" s="128">
        <f>E4850+F4826</f>
        <v>8027</v>
      </c>
    </row>
    <row r="4851" spans="1:6" ht="15.75" thickBot="1" x14ac:dyDescent="0.3">
      <c r="A4851" s="140" t="s">
        <v>20</v>
      </c>
      <c r="B4851" s="53">
        <v>44095</v>
      </c>
      <c r="C4851" s="4">
        <v>678</v>
      </c>
      <c r="D4851" s="29">
        <f t="shared" ref="D4851:D4863" si="407">C4851+D4827</f>
        <v>117952</v>
      </c>
      <c r="E4851" s="4">
        <v>29</v>
      </c>
      <c r="F4851" s="129">
        <f>E4851+F4827</f>
        <v>2881</v>
      </c>
    </row>
    <row r="4852" spans="1:6" ht="15.75" thickBot="1" x14ac:dyDescent="0.3">
      <c r="A4852" s="140" t="s">
        <v>35</v>
      </c>
      <c r="B4852" s="53">
        <v>44095</v>
      </c>
      <c r="C4852" s="4">
        <v>1</v>
      </c>
      <c r="D4852" s="29">
        <f t="shared" si="407"/>
        <v>192</v>
      </c>
      <c r="F4852" s="129">
        <f>E4852+F4828</f>
        <v>0</v>
      </c>
    </row>
    <row r="4853" spans="1:6" ht="15.75" thickBot="1" x14ac:dyDescent="0.3">
      <c r="A4853" s="140" t="s">
        <v>21</v>
      </c>
      <c r="B4853" s="53">
        <v>44095</v>
      </c>
      <c r="C4853" s="4">
        <v>69</v>
      </c>
      <c r="D4853" s="29">
        <f t="shared" si="407"/>
        <v>7479</v>
      </c>
      <c r="E4853" s="4">
        <v>7</v>
      </c>
      <c r="F4853" s="129">
        <f t="shared" ref="F4853:F4871" si="408">E4853+F4829</f>
        <v>262</v>
      </c>
    </row>
    <row r="4854" spans="1:6" ht="15.75" thickBot="1" x14ac:dyDescent="0.3">
      <c r="A4854" s="140" t="s">
        <v>36</v>
      </c>
      <c r="B4854" s="53">
        <v>44095</v>
      </c>
      <c r="C4854" s="4">
        <v>116</v>
      </c>
      <c r="D4854" s="29">
        <f t="shared" si="407"/>
        <v>2423</v>
      </c>
      <c r="F4854" s="129">
        <f t="shared" si="408"/>
        <v>25</v>
      </c>
    </row>
    <row r="4855" spans="1:6" ht="15.75" thickBot="1" x14ac:dyDescent="0.3">
      <c r="A4855" s="140" t="s">
        <v>27</v>
      </c>
      <c r="B4855" s="53">
        <v>44095</v>
      </c>
      <c r="C4855" s="4">
        <v>770</v>
      </c>
      <c r="D4855" s="29">
        <f t="shared" si="407"/>
        <v>19978</v>
      </c>
      <c r="E4855" s="4">
        <v>5</v>
      </c>
      <c r="F4855" s="129">
        <f t="shared" si="408"/>
        <v>260</v>
      </c>
    </row>
    <row r="4856" spans="1:6" ht="15.75" thickBot="1" x14ac:dyDescent="0.3">
      <c r="A4856" s="140" t="s">
        <v>37</v>
      </c>
      <c r="B4856" s="53">
        <v>44095</v>
      </c>
      <c r="C4856" s="4">
        <v>61</v>
      </c>
      <c r="D4856" s="29">
        <f t="shared" si="407"/>
        <v>1029</v>
      </c>
      <c r="E4856" s="4">
        <v>1</v>
      </c>
      <c r="F4856" s="129">
        <f>E4856+F4832</f>
        <v>15</v>
      </c>
    </row>
    <row r="4857" spans="1:6" ht="15.75" thickBot="1" x14ac:dyDescent="0.3">
      <c r="A4857" s="140" t="s">
        <v>38</v>
      </c>
      <c r="B4857" s="53">
        <v>44095</v>
      </c>
      <c r="C4857" s="4">
        <v>85</v>
      </c>
      <c r="D4857" s="29">
        <f t="shared" si="407"/>
        <v>6291</v>
      </c>
      <c r="E4857" s="4">
        <v>3</v>
      </c>
      <c r="F4857" s="129">
        <f>E4857+F4833</f>
        <v>111</v>
      </c>
    </row>
    <row r="4858" spans="1:6" ht="15.75" thickBot="1" x14ac:dyDescent="0.3">
      <c r="A4858" s="140" t="s">
        <v>48</v>
      </c>
      <c r="B4858" s="53">
        <v>44095</v>
      </c>
      <c r="C4858" s="4">
        <v>0</v>
      </c>
      <c r="D4858" s="29">
        <f t="shared" si="407"/>
        <v>101</v>
      </c>
      <c r="F4858" s="129">
        <f>E4858+F4834</f>
        <v>1</v>
      </c>
    </row>
    <row r="4859" spans="1:6" ht="15.75" thickBot="1" x14ac:dyDescent="0.3">
      <c r="A4859" s="140" t="s">
        <v>39</v>
      </c>
      <c r="B4859" s="53">
        <v>44095</v>
      </c>
      <c r="C4859" s="4">
        <v>101</v>
      </c>
      <c r="D4859" s="29">
        <f t="shared" si="407"/>
        <v>14251</v>
      </c>
      <c r="E4859" s="4">
        <v>11</v>
      </c>
      <c r="F4859" s="129">
        <f t="shared" si="408"/>
        <v>338</v>
      </c>
    </row>
    <row r="4860" spans="1:6" ht="15.75" thickBot="1" x14ac:dyDescent="0.3">
      <c r="A4860" s="140" t="s">
        <v>40</v>
      </c>
      <c r="B4860" s="53">
        <v>44095</v>
      </c>
      <c r="C4860" s="4">
        <v>18</v>
      </c>
      <c r="D4860" s="29">
        <f t="shared" si="407"/>
        <v>586</v>
      </c>
      <c r="F4860" s="129">
        <f t="shared" si="408"/>
        <v>4</v>
      </c>
    </row>
    <row r="4861" spans="1:6" ht="15.75" thickBot="1" x14ac:dyDescent="0.3">
      <c r="A4861" s="140" t="s">
        <v>28</v>
      </c>
      <c r="B4861" s="53">
        <v>44095</v>
      </c>
      <c r="C4861" s="4">
        <v>350</v>
      </c>
      <c r="D4861" s="29">
        <f t="shared" si="407"/>
        <v>4100</v>
      </c>
      <c r="E4861" s="4">
        <v>2</v>
      </c>
      <c r="F4861" s="129">
        <f t="shared" si="408"/>
        <v>101</v>
      </c>
    </row>
    <row r="4862" spans="1:6" ht="15.75" thickBot="1" x14ac:dyDescent="0.3">
      <c r="A4862" s="140" t="s">
        <v>24</v>
      </c>
      <c r="B4862" s="53">
        <v>44095</v>
      </c>
      <c r="C4862" s="4">
        <v>599</v>
      </c>
      <c r="D4862" s="29">
        <f t="shared" si="407"/>
        <v>19449</v>
      </c>
      <c r="E4862" s="4">
        <v>6</v>
      </c>
      <c r="F4862" s="129">
        <f t="shared" si="408"/>
        <v>185</v>
      </c>
    </row>
    <row r="4863" spans="1:6" ht="15.75" thickBot="1" x14ac:dyDescent="0.3">
      <c r="A4863" s="140" t="s">
        <v>30</v>
      </c>
      <c r="B4863" s="53">
        <v>44095</v>
      </c>
      <c r="C4863" s="4">
        <v>0</v>
      </c>
      <c r="D4863" s="29">
        <f t="shared" si="407"/>
        <v>70</v>
      </c>
      <c r="F4863" s="129">
        <f t="shared" si="408"/>
        <v>2</v>
      </c>
    </row>
    <row r="4864" spans="1:6" ht="15.75" thickBot="1" x14ac:dyDescent="0.3">
      <c r="A4864" s="140" t="s">
        <v>26</v>
      </c>
      <c r="B4864" s="53">
        <v>44095</v>
      </c>
      <c r="C4864" s="4">
        <v>211</v>
      </c>
      <c r="D4864" s="29">
        <f>C4864+D4840</f>
        <v>6223</v>
      </c>
      <c r="E4864" s="4">
        <v>13</v>
      </c>
      <c r="F4864" s="129">
        <f t="shared" si="408"/>
        <v>86</v>
      </c>
    </row>
    <row r="4865" spans="1:6" ht="15.75" thickBot="1" x14ac:dyDescent="0.3">
      <c r="A4865" s="140" t="s">
        <v>25</v>
      </c>
      <c r="B4865" s="53">
        <v>44095</v>
      </c>
      <c r="C4865" s="4">
        <v>132</v>
      </c>
      <c r="D4865" s="29">
        <f>C4865+D4841</f>
        <v>10478</v>
      </c>
      <c r="E4865" s="4">
        <v>21</v>
      </c>
      <c r="F4865" s="129">
        <f t="shared" si="408"/>
        <v>216</v>
      </c>
    </row>
    <row r="4866" spans="1:6" ht="15.75" thickBot="1" x14ac:dyDescent="0.3">
      <c r="A4866" s="140" t="s">
        <v>41</v>
      </c>
      <c r="B4866" s="53">
        <v>44095</v>
      </c>
      <c r="C4866" s="4">
        <v>138</v>
      </c>
      <c r="D4866" s="29">
        <f>C4866+D4842</f>
        <v>9406</v>
      </c>
      <c r="E4866" s="4">
        <v>23</v>
      </c>
      <c r="F4866" s="129">
        <f>E4866+F4842</f>
        <v>194</v>
      </c>
    </row>
    <row r="4867" spans="1:6" ht="15.75" thickBot="1" x14ac:dyDescent="0.3">
      <c r="A4867" s="140" t="s">
        <v>42</v>
      </c>
      <c r="B4867" s="53">
        <v>44095</v>
      </c>
      <c r="C4867" s="4">
        <v>18</v>
      </c>
      <c r="D4867" s="29">
        <f t="shared" ref="D4867:D4873" si="409">C4867+D4843</f>
        <v>490</v>
      </c>
      <c r="F4867" s="129">
        <f>E4867+F4843</f>
        <v>21</v>
      </c>
    </row>
    <row r="4868" spans="1:6" ht="15.75" thickBot="1" x14ac:dyDescent="0.3">
      <c r="A4868" s="140" t="s">
        <v>43</v>
      </c>
      <c r="B4868" s="53">
        <v>44095</v>
      </c>
      <c r="C4868" s="4">
        <v>83</v>
      </c>
      <c r="D4868" s="29">
        <f t="shared" si="409"/>
        <v>781</v>
      </c>
      <c r="F4868" s="129">
        <f t="shared" si="408"/>
        <v>0</v>
      </c>
    </row>
    <row r="4869" spans="1:6" ht="15.75" thickBot="1" x14ac:dyDescent="0.3">
      <c r="A4869" s="140" t="s">
        <v>44</v>
      </c>
      <c r="B4869" s="53">
        <v>44095</v>
      </c>
      <c r="C4869" s="4">
        <v>95</v>
      </c>
      <c r="D4869" s="29">
        <f t="shared" si="409"/>
        <v>3842</v>
      </c>
      <c r="E4869" s="4">
        <v>1</v>
      </c>
      <c r="F4869" s="129">
        <f>E4869+F4845</f>
        <v>45</v>
      </c>
    </row>
    <row r="4870" spans="1:6" ht="15.75" thickBot="1" x14ac:dyDescent="0.3">
      <c r="A4870" s="140" t="s">
        <v>29</v>
      </c>
      <c r="B4870" s="53">
        <v>44095</v>
      </c>
      <c r="C4870" s="4">
        <v>1215</v>
      </c>
      <c r="D4870" s="29">
        <f t="shared" si="409"/>
        <v>27610</v>
      </c>
      <c r="E4870" s="4">
        <v>27</v>
      </c>
      <c r="F4870" s="129">
        <f>E4870+F4846</f>
        <v>298</v>
      </c>
    </row>
    <row r="4871" spans="1:6" ht="15.75" thickBot="1" x14ac:dyDescent="0.3">
      <c r="A4871" s="140" t="s">
        <v>45</v>
      </c>
      <c r="B4871" s="53">
        <v>44095</v>
      </c>
      <c r="C4871" s="4">
        <v>53</v>
      </c>
      <c r="D4871" s="29">
        <f t="shared" si="409"/>
        <v>2425</v>
      </c>
      <c r="E4871" s="4">
        <v>2</v>
      </c>
      <c r="F4871" s="129">
        <f t="shared" si="408"/>
        <v>37</v>
      </c>
    </row>
    <row r="4872" spans="1:6" ht="15.75" thickBot="1" x14ac:dyDescent="0.3">
      <c r="A4872" s="140" t="s">
        <v>46</v>
      </c>
      <c r="B4872" s="53">
        <v>44095</v>
      </c>
      <c r="C4872" s="4">
        <v>81</v>
      </c>
      <c r="D4872" s="29">
        <f t="shared" si="409"/>
        <v>3278</v>
      </c>
      <c r="E4872" s="4">
        <v>1</v>
      </c>
      <c r="F4872" s="129">
        <f>E4872+F4848</f>
        <v>55</v>
      </c>
    </row>
    <row r="4873" spans="1:6" ht="15.75" thickBot="1" x14ac:dyDescent="0.3">
      <c r="A4873" s="141" t="s">
        <v>47</v>
      </c>
      <c r="B4873" s="53">
        <v>44095</v>
      </c>
      <c r="C4873" s="4">
        <v>208</v>
      </c>
      <c r="D4873" s="132">
        <f t="shared" si="409"/>
        <v>9733</v>
      </c>
      <c r="F4873" s="130">
        <f>E4873+F4849</f>
        <v>101</v>
      </c>
    </row>
    <row r="4874" spans="1:6" ht="15.75" thickBot="1" x14ac:dyDescent="0.3">
      <c r="A4874" s="64" t="s">
        <v>22</v>
      </c>
      <c r="B4874" s="53">
        <v>44096</v>
      </c>
      <c r="C4874" s="4">
        <v>5344</v>
      </c>
      <c r="D4874" s="131">
        <f>C4874+D4850</f>
        <v>377324</v>
      </c>
      <c r="E4874" s="4">
        <f>179+158</f>
        <v>337</v>
      </c>
      <c r="F4874" s="128">
        <f>E4874+F4850</f>
        <v>8364</v>
      </c>
    </row>
    <row r="4875" spans="1:6" ht="15.75" thickBot="1" x14ac:dyDescent="0.3">
      <c r="A4875" s="140" t="s">
        <v>20</v>
      </c>
      <c r="B4875" s="53">
        <v>44096</v>
      </c>
      <c r="C4875" s="4">
        <v>927</v>
      </c>
      <c r="D4875" s="29">
        <f t="shared" ref="D4875:D4887" si="410">C4875+D4851</f>
        <v>118879</v>
      </c>
      <c r="E4875" s="4">
        <f>24+20</f>
        <v>44</v>
      </c>
      <c r="F4875" s="129">
        <f>E4875+F4851</f>
        <v>2925</v>
      </c>
    </row>
    <row r="4876" spans="1:6" ht="15.75" thickBot="1" x14ac:dyDescent="0.3">
      <c r="A4876" s="140" t="s">
        <v>35</v>
      </c>
      <c r="B4876" s="53">
        <v>44096</v>
      </c>
      <c r="C4876" s="4">
        <v>-5</v>
      </c>
      <c r="D4876" s="29">
        <f t="shared" si="410"/>
        <v>187</v>
      </c>
      <c r="F4876" s="129">
        <f>E4876+F4852</f>
        <v>0</v>
      </c>
    </row>
    <row r="4877" spans="1:6" ht="15.75" thickBot="1" x14ac:dyDescent="0.3">
      <c r="A4877" s="140" t="s">
        <v>21</v>
      </c>
      <c r="B4877" s="53">
        <v>44096</v>
      </c>
      <c r="C4877" s="4">
        <v>94</v>
      </c>
      <c r="D4877" s="29">
        <f t="shared" si="410"/>
        <v>7573</v>
      </c>
      <c r="F4877" s="129">
        <f t="shared" ref="F4877:F4895" si="411">E4877+F4853</f>
        <v>262</v>
      </c>
    </row>
    <row r="4878" spans="1:6" ht="15.75" thickBot="1" x14ac:dyDescent="0.3">
      <c r="A4878" s="140" t="s">
        <v>36</v>
      </c>
      <c r="B4878" s="53">
        <v>44096</v>
      </c>
      <c r="C4878" s="4">
        <v>132</v>
      </c>
      <c r="D4878" s="29">
        <f t="shared" si="410"/>
        <v>2555</v>
      </c>
      <c r="E4878" s="4">
        <f>1+1</f>
        <v>2</v>
      </c>
      <c r="F4878" s="129">
        <f t="shared" si="411"/>
        <v>27</v>
      </c>
    </row>
    <row r="4879" spans="1:6" ht="15.75" thickBot="1" x14ac:dyDescent="0.3">
      <c r="A4879" s="140" t="s">
        <v>27</v>
      </c>
      <c r="B4879" s="53">
        <v>44096</v>
      </c>
      <c r="C4879" s="4">
        <v>1152</v>
      </c>
      <c r="D4879" s="29">
        <f t="shared" si="410"/>
        <v>21130</v>
      </c>
      <c r="E4879" s="4">
        <f>4+5</f>
        <v>9</v>
      </c>
      <c r="F4879" s="129">
        <f t="shared" si="411"/>
        <v>269</v>
      </c>
    </row>
    <row r="4880" spans="1:6" ht="15.75" thickBot="1" x14ac:dyDescent="0.3">
      <c r="A4880" s="140" t="s">
        <v>37</v>
      </c>
      <c r="B4880" s="53">
        <v>44096</v>
      </c>
      <c r="C4880" s="4">
        <v>30</v>
      </c>
      <c r="D4880" s="29">
        <f t="shared" si="410"/>
        <v>1059</v>
      </c>
      <c r="F4880" s="129">
        <f>E4880+F4856</f>
        <v>15</v>
      </c>
    </row>
    <row r="4881" spans="1:6" ht="15.75" thickBot="1" x14ac:dyDescent="0.3">
      <c r="A4881" s="140" t="s">
        <v>38</v>
      </c>
      <c r="B4881" s="53">
        <v>44096</v>
      </c>
      <c r="C4881" s="4">
        <v>121</v>
      </c>
      <c r="D4881" s="29">
        <f t="shared" si="410"/>
        <v>6412</v>
      </c>
      <c r="E4881" s="4">
        <f>6+2</f>
        <v>8</v>
      </c>
      <c r="F4881" s="129">
        <f>E4881+F4857</f>
        <v>119</v>
      </c>
    </row>
    <row r="4882" spans="1:6" ht="15.75" thickBot="1" x14ac:dyDescent="0.3">
      <c r="A4882" s="140" t="s">
        <v>48</v>
      </c>
      <c r="B4882" s="53">
        <v>44096</v>
      </c>
      <c r="C4882" s="4">
        <v>0</v>
      </c>
      <c r="D4882" s="29">
        <f t="shared" si="410"/>
        <v>101</v>
      </c>
      <c r="F4882" s="129">
        <f>E4882+F4858</f>
        <v>1</v>
      </c>
    </row>
    <row r="4883" spans="1:6" ht="15.75" thickBot="1" x14ac:dyDescent="0.3">
      <c r="A4883" s="140" t="s">
        <v>39</v>
      </c>
      <c r="B4883" s="53">
        <v>44096</v>
      </c>
      <c r="C4883" s="4">
        <v>99</v>
      </c>
      <c r="D4883" s="29">
        <f t="shared" si="410"/>
        <v>14350</v>
      </c>
      <c r="E4883" s="4">
        <f>8+5</f>
        <v>13</v>
      </c>
      <c r="F4883" s="129">
        <f t="shared" si="411"/>
        <v>351</v>
      </c>
    </row>
    <row r="4884" spans="1:6" ht="15.75" thickBot="1" x14ac:dyDescent="0.3">
      <c r="A4884" s="140" t="s">
        <v>40</v>
      </c>
      <c r="B4884" s="53">
        <v>44096</v>
      </c>
      <c r="C4884" s="4">
        <v>22</v>
      </c>
      <c r="D4884" s="29">
        <f t="shared" si="410"/>
        <v>608</v>
      </c>
      <c r="F4884" s="129">
        <f t="shared" si="411"/>
        <v>4</v>
      </c>
    </row>
    <row r="4885" spans="1:6" ht="15.75" thickBot="1" x14ac:dyDescent="0.3">
      <c r="A4885" s="140" t="s">
        <v>28</v>
      </c>
      <c r="B4885" s="53">
        <v>44096</v>
      </c>
      <c r="C4885" s="4">
        <v>120</v>
      </c>
      <c r="D4885" s="29">
        <f t="shared" si="410"/>
        <v>4220</v>
      </c>
      <c r="F4885" s="129">
        <f t="shared" si="411"/>
        <v>101</v>
      </c>
    </row>
    <row r="4886" spans="1:6" ht="15.75" thickBot="1" x14ac:dyDescent="0.3">
      <c r="A4886" s="140" t="s">
        <v>24</v>
      </c>
      <c r="B4886" s="53">
        <v>44096</v>
      </c>
      <c r="C4886" s="4">
        <v>426</v>
      </c>
      <c r="D4886" s="29">
        <f t="shared" si="410"/>
        <v>19875</v>
      </c>
      <c r="E4886" s="4">
        <f>5+5</f>
        <v>10</v>
      </c>
      <c r="F4886" s="129">
        <f t="shared" si="411"/>
        <v>195</v>
      </c>
    </row>
    <row r="4887" spans="1:6" ht="15.75" thickBot="1" x14ac:dyDescent="0.3">
      <c r="A4887" s="140" t="s">
        <v>30</v>
      </c>
      <c r="B4887" s="53">
        <v>44096</v>
      </c>
      <c r="C4887" s="4">
        <v>8</v>
      </c>
      <c r="D4887" s="29">
        <f t="shared" si="410"/>
        <v>78</v>
      </c>
      <c r="F4887" s="129">
        <f t="shared" si="411"/>
        <v>2</v>
      </c>
    </row>
    <row r="4888" spans="1:6" ht="15.75" thickBot="1" x14ac:dyDescent="0.3">
      <c r="A4888" s="140" t="s">
        <v>26</v>
      </c>
      <c r="B4888" s="53">
        <v>44096</v>
      </c>
      <c r="C4888" s="4">
        <v>218</v>
      </c>
      <c r="D4888" s="29">
        <f>C4888+D4864</f>
        <v>6441</v>
      </c>
      <c r="E4888" s="4">
        <f>4+2</f>
        <v>6</v>
      </c>
      <c r="F4888" s="129">
        <f t="shared" si="411"/>
        <v>92</v>
      </c>
    </row>
    <row r="4889" spans="1:6" ht="15.75" thickBot="1" x14ac:dyDescent="0.3">
      <c r="A4889" s="140" t="s">
        <v>25</v>
      </c>
      <c r="B4889" s="53">
        <v>44096</v>
      </c>
      <c r="C4889" s="4">
        <v>251</v>
      </c>
      <c r="D4889" s="29">
        <f>C4889+D4865</f>
        <v>10729</v>
      </c>
      <c r="E4889" s="4">
        <f>8+4</f>
        <v>12</v>
      </c>
      <c r="F4889" s="129">
        <f t="shared" si="411"/>
        <v>228</v>
      </c>
    </row>
    <row r="4890" spans="1:6" ht="15.75" thickBot="1" x14ac:dyDescent="0.3">
      <c r="A4890" s="140" t="s">
        <v>41</v>
      </c>
      <c r="B4890" s="53">
        <v>44096</v>
      </c>
      <c r="C4890" s="4">
        <v>444</v>
      </c>
      <c r="D4890" s="29">
        <f>C4890+D4866</f>
        <v>9850</v>
      </c>
      <c r="E4890" s="4">
        <f>6+6</f>
        <v>12</v>
      </c>
      <c r="F4890" s="129">
        <f>E4890+F4866</f>
        <v>206</v>
      </c>
    </row>
    <row r="4891" spans="1:6" ht="15.75" thickBot="1" x14ac:dyDescent="0.3">
      <c r="A4891" s="140" t="s">
        <v>42</v>
      </c>
      <c r="B4891" s="53">
        <v>44096</v>
      </c>
      <c r="C4891" s="4">
        <v>27</v>
      </c>
      <c r="D4891" s="29">
        <f t="shared" ref="D4891:D4897" si="412">C4891+D4867</f>
        <v>517</v>
      </c>
      <c r="F4891" s="129">
        <f>E4891+F4867</f>
        <v>21</v>
      </c>
    </row>
    <row r="4892" spans="1:6" ht="15.75" thickBot="1" x14ac:dyDescent="0.3">
      <c r="A4892" s="140" t="s">
        <v>43</v>
      </c>
      <c r="B4892" s="53">
        <v>44096</v>
      </c>
      <c r="C4892" s="4">
        <v>77</v>
      </c>
      <c r="D4892" s="29">
        <f t="shared" si="412"/>
        <v>858</v>
      </c>
      <c r="E4892" s="4">
        <f>1+2</f>
        <v>3</v>
      </c>
      <c r="F4892" s="129">
        <f t="shared" si="411"/>
        <v>3</v>
      </c>
    </row>
    <row r="4893" spans="1:6" ht="15.75" thickBot="1" x14ac:dyDescent="0.3">
      <c r="A4893" s="140" t="s">
        <v>44</v>
      </c>
      <c r="B4893" s="53">
        <v>44096</v>
      </c>
      <c r="C4893" s="4">
        <v>74</v>
      </c>
      <c r="D4893" s="29">
        <f t="shared" si="412"/>
        <v>3916</v>
      </c>
      <c r="E4893" s="4">
        <f>1</f>
        <v>1</v>
      </c>
      <c r="F4893" s="129">
        <f>E4893+F4869</f>
        <v>46</v>
      </c>
    </row>
    <row r="4894" spans="1:6" ht="15.75" thickBot="1" x14ac:dyDescent="0.3">
      <c r="A4894" s="140" t="s">
        <v>29</v>
      </c>
      <c r="B4894" s="53">
        <v>44096</v>
      </c>
      <c r="C4894" s="4">
        <v>1592</v>
      </c>
      <c r="D4894" s="29">
        <f t="shared" si="412"/>
        <v>29202</v>
      </c>
      <c r="E4894" s="4">
        <f>3+5</f>
        <v>8</v>
      </c>
      <c r="F4894" s="129">
        <f>E4894+F4870</f>
        <v>306</v>
      </c>
    </row>
    <row r="4895" spans="1:6" ht="15.75" thickBot="1" x14ac:dyDescent="0.3">
      <c r="A4895" s="140" t="s">
        <v>45</v>
      </c>
      <c r="B4895" s="53">
        <v>44096</v>
      </c>
      <c r="C4895" s="4">
        <v>75</v>
      </c>
      <c r="D4895" s="29">
        <f t="shared" si="412"/>
        <v>2500</v>
      </c>
      <c r="E4895" s="4">
        <f>1+1</f>
        <v>2</v>
      </c>
      <c r="F4895" s="129">
        <f t="shared" si="411"/>
        <v>39</v>
      </c>
    </row>
    <row r="4896" spans="1:6" ht="15.75" thickBot="1" x14ac:dyDescent="0.3">
      <c r="A4896" s="140" t="s">
        <v>46</v>
      </c>
      <c r="B4896" s="53">
        <v>44096</v>
      </c>
      <c r="C4896" s="4">
        <v>78</v>
      </c>
      <c r="D4896" s="29">
        <f t="shared" si="412"/>
        <v>3356</v>
      </c>
      <c r="E4896" s="4">
        <f>1+1</f>
        <v>2</v>
      </c>
      <c r="F4896" s="129">
        <f>E4896+F4872</f>
        <v>57</v>
      </c>
    </row>
    <row r="4897" spans="1:6" ht="15.75" thickBot="1" x14ac:dyDescent="0.3">
      <c r="A4897" s="141" t="s">
        <v>47</v>
      </c>
      <c r="B4897" s="53">
        <v>44096</v>
      </c>
      <c r="C4897" s="4">
        <v>721</v>
      </c>
      <c r="D4897" s="132">
        <f t="shared" si="412"/>
        <v>10454</v>
      </c>
      <c r="F4897" s="130">
        <f>E4897+F4873</f>
        <v>101</v>
      </c>
    </row>
    <row r="4898" spans="1:6" ht="15.75" thickBot="1" x14ac:dyDescent="0.3">
      <c r="A4898" s="64" t="s">
        <v>22</v>
      </c>
      <c r="B4898" s="53">
        <v>44097</v>
      </c>
      <c r="C4898" s="4">
        <v>5389</v>
      </c>
      <c r="D4898" s="131">
        <f>C4898+D4874</f>
        <v>382713</v>
      </c>
      <c r="E4898" s="4">
        <f>160+131</f>
        <v>291</v>
      </c>
      <c r="F4898" s="128">
        <f>E4898+F4874</f>
        <v>8655</v>
      </c>
    </row>
    <row r="4899" spans="1:6" ht="15.75" thickBot="1" x14ac:dyDescent="0.3">
      <c r="A4899" s="140" t="s">
        <v>20</v>
      </c>
      <c r="B4899" s="53">
        <v>44097</v>
      </c>
      <c r="C4899" s="4">
        <v>929</v>
      </c>
      <c r="D4899" s="29">
        <f t="shared" ref="D4899:D4911" si="413">C4899+D4875</f>
        <v>119808</v>
      </c>
      <c r="E4899" s="4">
        <f>16+18</f>
        <v>34</v>
      </c>
      <c r="F4899" s="129">
        <f>E4899+F4875</f>
        <v>2959</v>
      </c>
    </row>
    <row r="4900" spans="1:6" ht="15.75" thickBot="1" x14ac:dyDescent="0.3">
      <c r="A4900" s="140" t="s">
        <v>35</v>
      </c>
      <c r="B4900" s="53">
        <v>44097</v>
      </c>
      <c r="C4900" s="4">
        <v>6</v>
      </c>
      <c r="D4900" s="29">
        <f t="shared" si="413"/>
        <v>193</v>
      </c>
      <c r="F4900" s="129">
        <f>E4900+F4876</f>
        <v>0</v>
      </c>
    </row>
    <row r="4901" spans="1:6" ht="15.75" thickBot="1" x14ac:dyDescent="0.3">
      <c r="A4901" s="140" t="s">
        <v>21</v>
      </c>
      <c r="B4901" s="53">
        <v>44097</v>
      </c>
      <c r="C4901" s="4">
        <v>86</v>
      </c>
      <c r="D4901" s="29">
        <f t="shared" si="413"/>
        <v>7659</v>
      </c>
      <c r="E4901" s="4">
        <f>2+1</f>
        <v>3</v>
      </c>
      <c r="F4901" s="129">
        <f t="shared" ref="F4901:F4919" si="414">E4901+F4877</f>
        <v>265</v>
      </c>
    </row>
    <row r="4902" spans="1:6" ht="15.75" thickBot="1" x14ac:dyDescent="0.3">
      <c r="A4902" s="140" t="s">
        <v>36</v>
      </c>
      <c r="B4902" s="53">
        <v>44097</v>
      </c>
      <c r="C4902" s="4">
        <v>203</v>
      </c>
      <c r="D4902" s="29">
        <f t="shared" si="413"/>
        <v>2758</v>
      </c>
      <c r="E4902" s="4">
        <f>1</f>
        <v>1</v>
      </c>
      <c r="F4902" s="129">
        <f t="shared" si="414"/>
        <v>28</v>
      </c>
    </row>
    <row r="4903" spans="1:6" ht="15.75" thickBot="1" x14ac:dyDescent="0.3">
      <c r="A4903" s="140" t="s">
        <v>27</v>
      </c>
      <c r="B4903" s="53">
        <v>44097</v>
      </c>
      <c r="C4903" s="4">
        <v>1435</v>
      </c>
      <c r="D4903" s="29">
        <f t="shared" si="413"/>
        <v>22565</v>
      </c>
      <c r="E4903" s="4">
        <f>8+3</f>
        <v>11</v>
      </c>
      <c r="F4903" s="129">
        <f t="shared" si="414"/>
        <v>280</v>
      </c>
    </row>
    <row r="4904" spans="1:6" ht="15.75" thickBot="1" x14ac:dyDescent="0.3">
      <c r="A4904" s="140" t="s">
        <v>37</v>
      </c>
      <c r="B4904" s="53">
        <v>44097</v>
      </c>
      <c r="C4904" s="4">
        <v>-45</v>
      </c>
      <c r="D4904" s="29">
        <f t="shared" si="413"/>
        <v>1014</v>
      </c>
      <c r="F4904" s="129">
        <f>E4904+F4880</f>
        <v>15</v>
      </c>
    </row>
    <row r="4905" spans="1:6" ht="15.75" thickBot="1" x14ac:dyDescent="0.3">
      <c r="A4905" s="140" t="s">
        <v>38</v>
      </c>
      <c r="B4905" s="53">
        <v>44097</v>
      </c>
      <c r="C4905" s="4">
        <v>118</v>
      </c>
      <c r="D4905" s="29">
        <f t="shared" si="413"/>
        <v>6530</v>
      </c>
      <c r="E4905" s="4">
        <f>1+2</f>
        <v>3</v>
      </c>
      <c r="F4905" s="129">
        <f>E4905+F4881</f>
        <v>122</v>
      </c>
    </row>
    <row r="4906" spans="1:6" ht="15.75" thickBot="1" x14ac:dyDescent="0.3">
      <c r="A4906" s="140" t="s">
        <v>48</v>
      </c>
      <c r="B4906" s="53">
        <v>44097</v>
      </c>
      <c r="C4906" s="4">
        <v>1</v>
      </c>
      <c r="D4906" s="29">
        <f t="shared" si="413"/>
        <v>102</v>
      </c>
      <c r="F4906" s="129">
        <f>E4906+F4882</f>
        <v>1</v>
      </c>
    </row>
    <row r="4907" spans="1:6" ht="15.75" thickBot="1" x14ac:dyDescent="0.3">
      <c r="A4907" s="140" t="s">
        <v>39</v>
      </c>
      <c r="B4907" s="53">
        <v>44097</v>
      </c>
      <c r="C4907" s="4">
        <v>230</v>
      </c>
      <c r="D4907" s="29">
        <f t="shared" si="413"/>
        <v>14580</v>
      </c>
      <c r="E4907" s="4">
        <f>9+2</f>
        <v>11</v>
      </c>
      <c r="F4907" s="129">
        <f t="shared" si="414"/>
        <v>362</v>
      </c>
    </row>
    <row r="4908" spans="1:6" ht="15.75" thickBot="1" x14ac:dyDescent="0.3">
      <c r="A4908" s="140" t="s">
        <v>40</v>
      </c>
      <c r="B4908" s="53">
        <v>44097</v>
      </c>
      <c r="C4908" s="4">
        <v>15</v>
      </c>
      <c r="D4908" s="29">
        <f t="shared" si="413"/>
        <v>623</v>
      </c>
      <c r="F4908" s="129">
        <f t="shared" si="414"/>
        <v>4</v>
      </c>
    </row>
    <row r="4909" spans="1:6" ht="15.75" thickBot="1" x14ac:dyDescent="0.3">
      <c r="A4909" s="140" t="s">
        <v>28</v>
      </c>
      <c r="B4909" s="53">
        <v>44097</v>
      </c>
      <c r="C4909" s="4">
        <v>48</v>
      </c>
      <c r="D4909" s="29">
        <f t="shared" si="413"/>
        <v>4268</v>
      </c>
      <c r="F4909" s="129">
        <f t="shared" si="414"/>
        <v>101</v>
      </c>
    </row>
    <row r="4910" spans="1:6" ht="15.75" thickBot="1" x14ac:dyDescent="0.3">
      <c r="A4910" s="140" t="s">
        <v>24</v>
      </c>
      <c r="B4910" s="53">
        <v>44097</v>
      </c>
      <c r="C4910" s="4">
        <v>528</v>
      </c>
      <c r="D4910" s="29">
        <f t="shared" si="413"/>
        <v>20403</v>
      </c>
      <c r="E4910" s="4">
        <f>7+5</f>
        <v>12</v>
      </c>
      <c r="F4910" s="129">
        <f t="shared" si="414"/>
        <v>207</v>
      </c>
    </row>
    <row r="4911" spans="1:6" ht="15.75" thickBot="1" x14ac:dyDescent="0.3">
      <c r="A4911" s="140" t="s">
        <v>30</v>
      </c>
      <c r="B4911" s="53">
        <v>44097</v>
      </c>
      <c r="C4911" s="4">
        <v>4</v>
      </c>
      <c r="D4911" s="29">
        <f t="shared" si="413"/>
        <v>82</v>
      </c>
      <c r="F4911" s="129">
        <f t="shared" si="414"/>
        <v>2</v>
      </c>
    </row>
    <row r="4912" spans="1:6" ht="15.75" thickBot="1" x14ac:dyDescent="0.3">
      <c r="A4912" s="140" t="s">
        <v>26</v>
      </c>
      <c r="B4912" s="53">
        <v>44097</v>
      </c>
      <c r="C4912" s="4">
        <v>176</v>
      </c>
      <c r="D4912" s="29">
        <f>C4912+D4888</f>
        <v>6617</v>
      </c>
      <c r="E4912" s="4">
        <f>4+3</f>
        <v>7</v>
      </c>
      <c r="F4912" s="129">
        <f t="shared" si="414"/>
        <v>99</v>
      </c>
    </row>
    <row r="4913" spans="1:6" ht="15.75" thickBot="1" x14ac:dyDescent="0.3">
      <c r="A4913" s="140" t="s">
        <v>25</v>
      </c>
      <c r="B4913" s="53">
        <v>44097</v>
      </c>
      <c r="C4913" s="4">
        <v>272</v>
      </c>
      <c r="D4913" s="29">
        <f>C4913+D4889</f>
        <v>11001</v>
      </c>
      <c r="E4913" s="4">
        <f>5+3</f>
        <v>8</v>
      </c>
      <c r="F4913" s="129">
        <f t="shared" si="414"/>
        <v>236</v>
      </c>
    </row>
    <row r="4914" spans="1:6" ht="15.75" thickBot="1" x14ac:dyDescent="0.3">
      <c r="A4914" s="140" t="s">
        <v>41</v>
      </c>
      <c r="B4914" s="53">
        <v>44097</v>
      </c>
      <c r="C4914" s="4">
        <v>347</v>
      </c>
      <c r="D4914" s="29">
        <f>C4914+D4890</f>
        <v>10197</v>
      </c>
      <c r="E4914" s="4">
        <f>12+3</f>
        <v>15</v>
      </c>
      <c r="F4914" s="129">
        <f>E4914+F4890</f>
        <v>221</v>
      </c>
    </row>
    <row r="4915" spans="1:6" ht="15.75" thickBot="1" x14ac:dyDescent="0.3">
      <c r="A4915" s="140" t="s">
        <v>42</v>
      </c>
      <c r="B4915" s="53">
        <v>44097</v>
      </c>
      <c r="C4915" s="4">
        <v>19</v>
      </c>
      <c r="D4915" s="29">
        <f t="shared" ref="D4915:D4921" si="415">C4915+D4891</f>
        <v>536</v>
      </c>
      <c r="E4915" s="4">
        <f>1+3</f>
        <v>4</v>
      </c>
      <c r="F4915" s="129">
        <f>E4915+F4891</f>
        <v>25</v>
      </c>
    </row>
    <row r="4916" spans="1:6" ht="15.75" thickBot="1" x14ac:dyDescent="0.3">
      <c r="A4916" s="140" t="s">
        <v>43</v>
      </c>
      <c r="B4916" s="53">
        <v>44097</v>
      </c>
      <c r="C4916" s="4">
        <v>62</v>
      </c>
      <c r="D4916" s="29">
        <f t="shared" si="415"/>
        <v>920</v>
      </c>
      <c r="F4916" s="129">
        <f t="shared" si="414"/>
        <v>3</v>
      </c>
    </row>
    <row r="4917" spans="1:6" ht="15.75" thickBot="1" x14ac:dyDescent="0.3">
      <c r="A4917" s="140" t="s">
        <v>44</v>
      </c>
      <c r="B4917" s="53">
        <v>44097</v>
      </c>
      <c r="C4917" s="4">
        <v>114</v>
      </c>
      <c r="D4917" s="29">
        <f t="shared" si="415"/>
        <v>4030</v>
      </c>
      <c r="E4917" s="4">
        <f>1</f>
        <v>1</v>
      </c>
      <c r="F4917" s="129">
        <f>E4917+F4893</f>
        <v>47</v>
      </c>
    </row>
    <row r="4918" spans="1:6" ht="15.75" thickBot="1" x14ac:dyDescent="0.3">
      <c r="A4918" s="140" t="s">
        <v>29</v>
      </c>
      <c r="B4918" s="53">
        <v>44097</v>
      </c>
      <c r="C4918" s="4">
        <v>1682</v>
      </c>
      <c r="D4918" s="29">
        <f t="shared" si="415"/>
        <v>30884</v>
      </c>
      <c r="E4918" s="4">
        <f>11+6</f>
        <v>17</v>
      </c>
      <c r="F4918" s="129">
        <f>E4918+F4894</f>
        <v>323</v>
      </c>
    </row>
    <row r="4919" spans="1:6" ht="15.75" thickBot="1" x14ac:dyDescent="0.3">
      <c r="A4919" s="140" t="s">
        <v>45</v>
      </c>
      <c r="B4919" s="53">
        <v>44097</v>
      </c>
      <c r="C4919" s="4">
        <v>108</v>
      </c>
      <c r="D4919" s="29">
        <f t="shared" si="415"/>
        <v>2608</v>
      </c>
      <c r="E4919" s="4">
        <f>4</f>
        <v>4</v>
      </c>
      <c r="F4919" s="129">
        <f t="shared" si="414"/>
        <v>43</v>
      </c>
    </row>
    <row r="4920" spans="1:6" ht="15.75" thickBot="1" x14ac:dyDescent="0.3">
      <c r="A4920" s="140" t="s">
        <v>46</v>
      </c>
      <c r="B4920" s="53">
        <v>44097</v>
      </c>
      <c r="C4920" s="4">
        <v>79</v>
      </c>
      <c r="D4920" s="29">
        <f t="shared" si="415"/>
        <v>3435</v>
      </c>
      <c r="E4920" s="4">
        <f>2</f>
        <v>2</v>
      </c>
      <c r="F4920" s="129">
        <f>E4920+F4896</f>
        <v>59</v>
      </c>
    </row>
    <row r="4921" spans="1:6" ht="15.75" thickBot="1" x14ac:dyDescent="0.3">
      <c r="A4921" s="142" t="s">
        <v>47</v>
      </c>
      <c r="B4921" s="46">
        <v>44097</v>
      </c>
      <c r="C4921" s="47">
        <v>819</v>
      </c>
      <c r="D4921" s="85">
        <f t="shared" si="415"/>
        <v>11273</v>
      </c>
      <c r="E4921" s="47"/>
      <c r="F4921" s="139">
        <f>E4921+F4897</f>
        <v>101</v>
      </c>
    </row>
    <row r="4922" spans="1:6" x14ac:dyDescent="0.25">
      <c r="A4922" s="64" t="s">
        <v>22</v>
      </c>
      <c r="B4922" s="49">
        <v>44098</v>
      </c>
      <c r="C4922" s="50">
        <v>6122</v>
      </c>
      <c r="D4922" s="131">
        <f>C4922+D4898</f>
        <v>388835</v>
      </c>
      <c r="E4922" s="50">
        <f>162+117+3</f>
        <v>282</v>
      </c>
      <c r="F4922" s="128">
        <f>E4922+F4898</f>
        <v>8937</v>
      </c>
    </row>
    <row r="4923" spans="1:6" x14ac:dyDescent="0.25">
      <c r="A4923" s="140" t="s">
        <v>20</v>
      </c>
      <c r="B4923" s="26">
        <v>44098</v>
      </c>
      <c r="C4923" s="4">
        <v>1009</v>
      </c>
      <c r="D4923" s="29">
        <f t="shared" ref="D4923:D4935" si="416">C4923+D4899</f>
        <v>120817</v>
      </c>
      <c r="E4923" s="4">
        <f>9+10</f>
        <v>19</v>
      </c>
      <c r="F4923" s="129">
        <f>E4923+F4899</f>
        <v>2978</v>
      </c>
    </row>
    <row r="4924" spans="1:6" x14ac:dyDescent="0.25">
      <c r="A4924" s="140" t="s">
        <v>35</v>
      </c>
      <c r="B4924" s="26">
        <v>44098</v>
      </c>
      <c r="C4924" s="4">
        <v>2</v>
      </c>
      <c r="D4924" s="29">
        <f t="shared" si="416"/>
        <v>195</v>
      </c>
      <c r="F4924" s="129">
        <f>E4924+F4900</f>
        <v>0</v>
      </c>
    </row>
    <row r="4925" spans="1:6" x14ac:dyDescent="0.25">
      <c r="A4925" s="140" t="s">
        <v>21</v>
      </c>
      <c r="B4925" s="26">
        <v>44098</v>
      </c>
      <c r="C4925" s="4">
        <v>128</v>
      </c>
      <c r="D4925" s="29">
        <f t="shared" si="416"/>
        <v>7787</v>
      </c>
      <c r="E4925" s="4">
        <f>5</f>
        <v>5</v>
      </c>
      <c r="F4925" s="129">
        <f t="shared" ref="F4925:F4943" si="417">E4925+F4901</f>
        <v>270</v>
      </c>
    </row>
    <row r="4926" spans="1:6" x14ac:dyDescent="0.25">
      <c r="A4926" s="140" t="s">
        <v>36</v>
      </c>
      <c r="B4926" s="26">
        <v>44098</v>
      </c>
      <c r="C4926" s="4">
        <v>162</v>
      </c>
      <c r="D4926" s="29">
        <f t="shared" si="416"/>
        <v>2920</v>
      </c>
      <c r="F4926" s="129">
        <f t="shared" si="417"/>
        <v>28</v>
      </c>
    </row>
    <row r="4927" spans="1:6" x14ac:dyDescent="0.25">
      <c r="A4927" s="140" t="s">
        <v>27</v>
      </c>
      <c r="B4927" s="26">
        <v>44098</v>
      </c>
      <c r="C4927" s="4">
        <v>1626</v>
      </c>
      <c r="D4927" s="29">
        <f t="shared" si="416"/>
        <v>24191</v>
      </c>
      <c r="E4927" s="4">
        <f>6+7</f>
        <v>13</v>
      </c>
      <c r="F4927" s="129">
        <f t="shared" si="417"/>
        <v>293</v>
      </c>
    </row>
    <row r="4928" spans="1:6" x14ac:dyDescent="0.25">
      <c r="A4928" s="140" t="s">
        <v>37</v>
      </c>
      <c r="B4928" s="26">
        <v>44098</v>
      </c>
      <c r="C4928" s="4">
        <v>-4</v>
      </c>
      <c r="D4928" s="29">
        <f t="shared" si="416"/>
        <v>1010</v>
      </c>
      <c r="E4928" s="4">
        <f>1</f>
        <v>1</v>
      </c>
      <c r="F4928" s="129">
        <f>E4928+F4904</f>
        <v>16</v>
      </c>
    </row>
    <row r="4929" spans="1:6" x14ac:dyDescent="0.25">
      <c r="A4929" s="140" t="s">
        <v>38</v>
      </c>
      <c r="B4929" s="26">
        <v>44098</v>
      </c>
      <c r="C4929" s="4">
        <v>115</v>
      </c>
      <c r="D4929" s="29">
        <f t="shared" si="416"/>
        <v>6645</v>
      </c>
      <c r="E4929" s="4">
        <f>2+1</f>
        <v>3</v>
      </c>
      <c r="F4929" s="129">
        <f>E4929+F4905</f>
        <v>125</v>
      </c>
    </row>
    <row r="4930" spans="1:6" x14ac:dyDescent="0.25">
      <c r="A4930" s="140" t="s">
        <v>48</v>
      </c>
      <c r="B4930" s="26">
        <v>44098</v>
      </c>
      <c r="C4930" s="4">
        <v>0</v>
      </c>
      <c r="D4930" s="29">
        <f t="shared" si="416"/>
        <v>102</v>
      </c>
      <c r="F4930" s="129">
        <f>E4930+F4906</f>
        <v>1</v>
      </c>
    </row>
    <row r="4931" spans="1:6" x14ac:dyDescent="0.25">
      <c r="A4931" s="140" t="s">
        <v>39</v>
      </c>
      <c r="B4931" s="26">
        <v>44098</v>
      </c>
      <c r="C4931" s="4">
        <v>223</v>
      </c>
      <c r="D4931" s="29">
        <f t="shared" si="416"/>
        <v>14803</v>
      </c>
      <c r="E4931" s="4">
        <f>9+2</f>
        <v>11</v>
      </c>
      <c r="F4931" s="129">
        <f>E4931+F4907</f>
        <v>373</v>
      </c>
    </row>
    <row r="4932" spans="1:6" x14ac:dyDescent="0.25">
      <c r="A4932" s="140" t="s">
        <v>40</v>
      </c>
      <c r="B4932" s="26">
        <v>44098</v>
      </c>
      <c r="C4932" s="4">
        <v>34</v>
      </c>
      <c r="D4932" s="29">
        <f t="shared" si="416"/>
        <v>657</v>
      </c>
      <c r="F4932" s="129">
        <f t="shared" si="417"/>
        <v>4</v>
      </c>
    </row>
    <row r="4933" spans="1:6" x14ac:dyDescent="0.25">
      <c r="A4933" s="140" t="s">
        <v>28</v>
      </c>
      <c r="B4933" s="26">
        <v>44098</v>
      </c>
      <c r="C4933" s="4">
        <v>100</v>
      </c>
      <c r="D4933" s="29">
        <f t="shared" si="416"/>
        <v>4368</v>
      </c>
      <c r="F4933" s="129">
        <f t="shared" si="417"/>
        <v>101</v>
      </c>
    </row>
    <row r="4934" spans="1:6" x14ac:dyDescent="0.25">
      <c r="A4934" s="140" t="s">
        <v>24</v>
      </c>
      <c r="B4934" s="26">
        <v>44098</v>
      </c>
      <c r="C4934" s="4">
        <v>656</v>
      </c>
      <c r="D4934" s="29">
        <f t="shared" si="416"/>
        <v>21059</v>
      </c>
      <c r="E4934" s="4">
        <f>2+4</f>
        <v>6</v>
      </c>
      <c r="F4934" s="129">
        <f t="shared" si="417"/>
        <v>213</v>
      </c>
    </row>
    <row r="4935" spans="1:6" x14ac:dyDescent="0.25">
      <c r="A4935" s="140" t="s">
        <v>30</v>
      </c>
      <c r="B4935" s="26">
        <v>44098</v>
      </c>
      <c r="C4935" s="4">
        <v>3</v>
      </c>
      <c r="D4935" s="29">
        <f t="shared" si="416"/>
        <v>85</v>
      </c>
      <c r="F4935" s="129">
        <f t="shared" si="417"/>
        <v>2</v>
      </c>
    </row>
    <row r="4936" spans="1:6" x14ac:dyDescent="0.25">
      <c r="A4936" s="140" t="s">
        <v>26</v>
      </c>
      <c r="B4936" s="26">
        <v>44098</v>
      </c>
      <c r="C4936" s="4">
        <v>253</v>
      </c>
      <c r="D4936" s="29">
        <f>C4936+D4912</f>
        <v>6870</v>
      </c>
      <c r="E4936" s="4">
        <f>1+1</f>
        <v>2</v>
      </c>
      <c r="F4936" s="129">
        <f t="shared" si="417"/>
        <v>101</v>
      </c>
    </row>
    <row r="4937" spans="1:6" x14ac:dyDescent="0.25">
      <c r="A4937" s="140" t="s">
        <v>25</v>
      </c>
      <c r="B4937" s="26">
        <v>44098</v>
      </c>
      <c r="C4937" s="4">
        <v>247</v>
      </c>
      <c r="D4937" s="29">
        <f>C4937+D4913</f>
        <v>11248</v>
      </c>
      <c r="E4937" s="4">
        <f>6+4</f>
        <v>10</v>
      </c>
      <c r="F4937" s="129">
        <f t="shared" si="417"/>
        <v>246</v>
      </c>
    </row>
    <row r="4938" spans="1:6" x14ac:dyDescent="0.25">
      <c r="A4938" s="140" t="s">
        <v>41</v>
      </c>
      <c r="B4938" s="26">
        <v>44098</v>
      </c>
      <c r="C4938" s="4">
        <v>286</v>
      </c>
      <c r="D4938" s="29">
        <f>C4938+D4914</f>
        <v>10483</v>
      </c>
      <c r="E4938" s="4">
        <f>10+4</f>
        <v>14</v>
      </c>
      <c r="F4938" s="129">
        <f>E4938+F4914</f>
        <v>235</v>
      </c>
    </row>
    <row r="4939" spans="1:6" x14ac:dyDescent="0.25">
      <c r="A4939" s="140" t="s">
        <v>42</v>
      </c>
      <c r="B4939" s="26">
        <v>44098</v>
      </c>
      <c r="C4939" s="4">
        <v>12</v>
      </c>
      <c r="D4939" s="29">
        <f t="shared" ref="D4939:D4945" si="418">C4939+D4915</f>
        <v>548</v>
      </c>
      <c r="F4939" s="129">
        <f>E4939+F4915</f>
        <v>25</v>
      </c>
    </row>
    <row r="4940" spans="1:6" x14ac:dyDescent="0.25">
      <c r="A4940" s="140" t="s">
        <v>43</v>
      </c>
      <c r="B4940" s="26">
        <v>44098</v>
      </c>
      <c r="C4940" s="4">
        <v>71</v>
      </c>
      <c r="D4940" s="29">
        <f t="shared" si="418"/>
        <v>991</v>
      </c>
      <c r="F4940" s="129">
        <f t="shared" si="417"/>
        <v>3</v>
      </c>
    </row>
    <row r="4941" spans="1:6" x14ac:dyDescent="0.25">
      <c r="A4941" s="140" t="s">
        <v>44</v>
      </c>
      <c r="B4941" s="26">
        <v>44098</v>
      </c>
      <c r="C4941" s="4">
        <v>86</v>
      </c>
      <c r="D4941" s="29">
        <f t="shared" si="418"/>
        <v>4116</v>
      </c>
      <c r="E4941" s="4">
        <f>2</f>
        <v>2</v>
      </c>
      <c r="F4941" s="129">
        <f>E4941+F4917</f>
        <v>49</v>
      </c>
    </row>
    <row r="4942" spans="1:6" x14ac:dyDescent="0.25">
      <c r="A4942" s="140" t="s">
        <v>29</v>
      </c>
      <c r="B4942" s="26">
        <v>44098</v>
      </c>
      <c r="C4942" s="4">
        <v>1928</v>
      </c>
      <c r="D4942" s="29">
        <f t="shared" si="418"/>
        <v>32812</v>
      </c>
      <c r="E4942" s="4">
        <f>10+10</f>
        <v>20</v>
      </c>
      <c r="F4942" s="129">
        <f>E4942+F4918</f>
        <v>343</v>
      </c>
    </row>
    <row r="4943" spans="1:6" x14ac:dyDescent="0.25">
      <c r="A4943" s="140" t="s">
        <v>45</v>
      </c>
      <c r="B4943" s="26">
        <v>44098</v>
      </c>
      <c r="C4943" s="4">
        <v>116</v>
      </c>
      <c r="D4943" s="29">
        <f t="shared" si="418"/>
        <v>2724</v>
      </c>
      <c r="E4943" s="4">
        <f>1</f>
        <v>1</v>
      </c>
      <c r="F4943" s="129">
        <f t="shared" si="417"/>
        <v>44</v>
      </c>
    </row>
    <row r="4944" spans="1:6" x14ac:dyDescent="0.25">
      <c r="A4944" s="140" t="s">
        <v>46</v>
      </c>
      <c r="B4944" s="26">
        <v>44098</v>
      </c>
      <c r="C4944" s="4">
        <v>68</v>
      </c>
      <c r="D4944" s="29">
        <f t="shared" si="418"/>
        <v>3503</v>
      </c>
      <c r="E4944" s="4">
        <f>1</f>
        <v>1</v>
      </c>
      <c r="F4944" s="129">
        <f>E4944+F4920</f>
        <v>60</v>
      </c>
    </row>
    <row r="4945" spans="1:6" ht="15.75" thickBot="1" x14ac:dyDescent="0.3">
      <c r="A4945" s="141" t="s">
        <v>47</v>
      </c>
      <c r="B4945" s="53">
        <v>44098</v>
      </c>
      <c r="C4945" s="54">
        <v>224</v>
      </c>
      <c r="D4945" s="132">
        <f t="shared" si="418"/>
        <v>11497</v>
      </c>
      <c r="E4945" s="54">
        <f>1</f>
        <v>1</v>
      </c>
      <c r="F4945" s="130">
        <f>E4945+F4921</f>
        <v>102</v>
      </c>
    </row>
    <row r="4946" spans="1:6" x14ac:dyDescent="0.25">
      <c r="A4946" s="64" t="s">
        <v>22</v>
      </c>
      <c r="B4946" s="136">
        <v>44099</v>
      </c>
      <c r="C4946" s="48">
        <v>5600</v>
      </c>
      <c r="D4946" s="131">
        <f>C4946+D4922</f>
        <v>394435</v>
      </c>
      <c r="E4946" s="48">
        <f>122+118</f>
        <v>240</v>
      </c>
      <c r="F4946" s="128">
        <f>E4946+F4922</f>
        <v>9177</v>
      </c>
    </row>
    <row r="4947" spans="1:6" x14ac:dyDescent="0.25">
      <c r="A4947" s="140" t="s">
        <v>20</v>
      </c>
      <c r="B4947" s="136">
        <v>44099</v>
      </c>
      <c r="C4947" s="4">
        <v>926</v>
      </c>
      <c r="D4947" s="29">
        <f t="shared" ref="D4947:D4959" si="419">C4947+D4923</f>
        <v>121743</v>
      </c>
      <c r="E4947" s="4">
        <f>27+20</f>
        <v>47</v>
      </c>
      <c r="F4947" s="129">
        <f>E4947+F4923</f>
        <v>3025</v>
      </c>
    </row>
    <row r="4948" spans="1:6" x14ac:dyDescent="0.25">
      <c r="A4948" s="140" t="s">
        <v>35</v>
      </c>
      <c r="B4948" s="136">
        <v>44099</v>
      </c>
      <c r="C4948" s="4">
        <v>6</v>
      </c>
      <c r="D4948" s="29">
        <f t="shared" si="419"/>
        <v>201</v>
      </c>
      <c r="F4948" s="129">
        <f>E4948+F4924</f>
        <v>0</v>
      </c>
    </row>
    <row r="4949" spans="1:6" x14ac:dyDescent="0.25">
      <c r="A4949" s="140" t="s">
        <v>21</v>
      </c>
      <c r="B4949" s="136">
        <v>44099</v>
      </c>
      <c r="C4949" s="4">
        <v>120</v>
      </c>
      <c r="D4949" s="29">
        <f t="shared" si="419"/>
        <v>7907</v>
      </c>
      <c r="E4949" s="4">
        <f>4+1</f>
        <v>5</v>
      </c>
      <c r="F4949" s="129">
        <f t="shared" ref="F4949:F4967" si="420">E4949+F4925</f>
        <v>275</v>
      </c>
    </row>
    <row r="4950" spans="1:6" x14ac:dyDescent="0.25">
      <c r="A4950" s="140" t="s">
        <v>36</v>
      </c>
      <c r="B4950" s="136">
        <v>44099</v>
      </c>
      <c r="C4950" s="4">
        <v>207</v>
      </c>
      <c r="D4950" s="29">
        <f t="shared" si="419"/>
        <v>3127</v>
      </c>
      <c r="E4950" s="4">
        <f>1</f>
        <v>1</v>
      </c>
      <c r="F4950" s="129">
        <f t="shared" si="420"/>
        <v>29</v>
      </c>
    </row>
    <row r="4951" spans="1:6" x14ac:dyDescent="0.25">
      <c r="A4951" s="140" t="s">
        <v>27</v>
      </c>
      <c r="B4951" s="136">
        <v>44099</v>
      </c>
      <c r="C4951" s="4">
        <v>1575</v>
      </c>
      <c r="D4951" s="29">
        <f t="shared" si="419"/>
        <v>25766</v>
      </c>
      <c r="E4951" s="4">
        <f>10+7</f>
        <v>17</v>
      </c>
      <c r="F4951" s="129">
        <f t="shared" si="420"/>
        <v>310</v>
      </c>
    </row>
    <row r="4952" spans="1:6" x14ac:dyDescent="0.25">
      <c r="A4952" s="140" t="s">
        <v>37</v>
      </c>
      <c r="B4952" s="136">
        <v>44099</v>
      </c>
      <c r="C4952" s="4">
        <v>-8</v>
      </c>
      <c r="D4952" s="29">
        <f t="shared" si="419"/>
        <v>1002</v>
      </c>
      <c r="F4952" s="129">
        <f>E4952+F4928</f>
        <v>16</v>
      </c>
    </row>
    <row r="4953" spans="1:6" x14ac:dyDescent="0.25">
      <c r="A4953" s="140" t="s">
        <v>38</v>
      </c>
      <c r="B4953" s="136">
        <v>44099</v>
      </c>
      <c r="C4953" s="4">
        <v>165</v>
      </c>
      <c r="D4953" s="29">
        <f t="shared" si="419"/>
        <v>6810</v>
      </c>
      <c r="E4953" s="4">
        <f>2</f>
        <v>2</v>
      </c>
      <c r="F4953" s="129">
        <f>E4953+F4929</f>
        <v>127</v>
      </c>
    </row>
    <row r="4954" spans="1:6" x14ac:dyDescent="0.25">
      <c r="A4954" s="140" t="s">
        <v>48</v>
      </c>
      <c r="B4954" s="136">
        <v>44099</v>
      </c>
      <c r="C4954" s="4">
        <v>0</v>
      </c>
      <c r="D4954" s="29">
        <f t="shared" si="419"/>
        <v>102</v>
      </c>
      <c r="F4954" s="129">
        <f>E4954+F4930</f>
        <v>1</v>
      </c>
    </row>
    <row r="4955" spans="1:6" x14ac:dyDescent="0.25">
      <c r="A4955" s="140" t="s">
        <v>39</v>
      </c>
      <c r="B4955" s="136">
        <v>44099</v>
      </c>
      <c r="C4955" s="4">
        <v>193</v>
      </c>
      <c r="D4955" s="29">
        <f t="shared" si="419"/>
        <v>14996</v>
      </c>
      <c r="E4955" s="4">
        <f>16+5</f>
        <v>21</v>
      </c>
      <c r="F4955" s="129">
        <f>E4955+F4931</f>
        <v>394</v>
      </c>
    </row>
    <row r="4956" spans="1:6" x14ac:dyDescent="0.25">
      <c r="A4956" s="140" t="s">
        <v>40</v>
      </c>
      <c r="B4956" s="136">
        <v>44099</v>
      </c>
      <c r="C4956" s="4">
        <v>25</v>
      </c>
      <c r="D4956" s="29">
        <f t="shared" si="419"/>
        <v>682</v>
      </c>
      <c r="F4956" s="129">
        <f t="shared" si="420"/>
        <v>4</v>
      </c>
    </row>
    <row r="4957" spans="1:6" x14ac:dyDescent="0.25">
      <c r="A4957" s="140" t="s">
        <v>28</v>
      </c>
      <c r="B4957" s="136">
        <v>44099</v>
      </c>
      <c r="C4957" s="4">
        <v>106</v>
      </c>
      <c r="D4957" s="29">
        <f t="shared" si="419"/>
        <v>4474</v>
      </c>
      <c r="F4957" s="129">
        <f t="shared" si="420"/>
        <v>101</v>
      </c>
    </row>
    <row r="4958" spans="1:6" x14ac:dyDescent="0.25">
      <c r="A4958" s="140" t="s">
        <v>24</v>
      </c>
      <c r="B4958" s="136">
        <v>44099</v>
      </c>
      <c r="C4958" s="4">
        <v>768</v>
      </c>
      <c r="D4958" s="29">
        <f t="shared" si="419"/>
        <v>21827</v>
      </c>
      <c r="E4958" s="4">
        <f>7+8</f>
        <v>15</v>
      </c>
      <c r="F4958" s="129">
        <f t="shared" si="420"/>
        <v>228</v>
      </c>
    </row>
    <row r="4959" spans="1:6" x14ac:dyDescent="0.25">
      <c r="A4959" s="140" t="s">
        <v>30</v>
      </c>
      <c r="B4959" s="136">
        <v>44099</v>
      </c>
      <c r="C4959" s="4">
        <v>2</v>
      </c>
      <c r="D4959" s="29">
        <f t="shared" si="419"/>
        <v>87</v>
      </c>
      <c r="F4959" s="129">
        <f t="shared" si="420"/>
        <v>2</v>
      </c>
    </row>
    <row r="4960" spans="1:6" x14ac:dyDescent="0.25">
      <c r="A4960" s="140" t="s">
        <v>26</v>
      </c>
      <c r="B4960" s="136">
        <v>44099</v>
      </c>
      <c r="C4960" s="4">
        <v>105</v>
      </c>
      <c r="D4960" s="29">
        <f>C4960+D4936</f>
        <v>6975</v>
      </c>
      <c r="E4960" s="4">
        <f>3</f>
        <v>3</v>
      </c>
      <c r="F4960" s="129">
        <f t="shared" si="420"/>
        <v>104</v>
      </c>
    </row>
    <row r="4961" spans="1:6" x14ac:dyDescent="0.25">
      <c r="A4961" s="140" t="s">
        <v>25</v>
      </c>
      <c r="B4961" s="136">
        <v>44099</v>
      </c>
      <c r="C4961" s="4">
        <v>227</v>
      </c>
      <c r="D4961" s="29">
        <f>C4961+D4937</f>
        <v>11475</v>
      </c>
      <c r="E4961" s="4">
        <v>10</v>
      </c>
      <c r="F4961" s="129">
        <f t="shared" si="420"/>
        <v>256</v>
      </c>
    </row>
    <row r="4962" spans="1:6" x14ac:dyDescent="0.25">
      <c r="A4962" s="140" t="s">
        <v>41</v>
      </c>
      <c r="B4962" s="136">
        <v>44099</v>
      </c>
      <c r="C4962" s="4">
        <v>469</v>
      </c>
      <c r="D4962" s="29">
        <f>C4962+D4938</f>
        <v>10952</v>
      </c>
      <c r="E4962" s="4">
        <f>24+19</f>
        <v>43</v>
      </c>
      <c r="F4962" s="129">
        <f>E4962+F4938</f>
        <v>278</v>
      </c>
    </row>
    <row r="4963" spans="1:6" x14ac:dyDescent="0.25">
      <c r="A4963" s="140" t="s">
        <v>42</v>
      </c>
      <c r="B4963" s="136">
        <v>44099</v>
      </c>
      <c r="C4963" s="4">
        <v>8</v>
      </c>
      <c r="D4963" s="29">
        <f t="shared" ref="D4963:D4969" si="421">C4963+D4939</f>
        <v>556</v>
      </c>
      <c r="F4963" s="129">
        <f>E4963+F4939</f>
        <v>25</v>
      </c>
    </row>
    <row r="4964" spans="1:6" x14ac:dyDescent="0.25">
      <c r="A4964" s="140" t="s">
        <v>43</v>
      </c>
      <c r="B4964" s="136">
        <v>44099</v>
      </c>
      <c r="C4964" s="4">
        <v>94</v>
      </c>
      <c r="D4964" s="29">
        <f t="shared" si="421"/>
        <v>1085</v>
      </c>
      <c r="E4964" s="4">
        <f>1</f>
        <v>1</v>
      </c>
      <c r="F4964" s="129">
        <f t="shared" si="420"/>
        <v>4</v>
      </c>
    </row>
    <row r="4965" spans="1:6" x14ac:dyDescent="0.25">
      <c r="A4965" s="140" t="s">
        <v>44</v>
      </c>
      <c r="B4965" s="136">
        <v>44099</v>
      </c>
      <c r="C4965" s="4">
        <v>139</v>
      </c>
      <c r="D4965" s="29">
        <f t="shared" si="421"/>
        <v>4255</v>
      </c>
      <c r="E4965" s="4">
        <f>1</f>
        <v>1</v>
      </c>
      <c r="F4965" s="129">
        <f>E4965+F4941</f>
        <v>50</v>
      </c>
    </row>
    <row r="4966" spans="1:6" x14ac:dyDescent="0.25">
      <c r="A4966" s="140" t="s">
        <v>29</v>
      </c>
      <c r="B4966" s="136">
        <v>44099</v>
      </c>
      <c r="C4966" s="4">
        <v>1728</v>
      </c>
      <c r="D4966" s="29">
        <f t="shared" si="421"/>
        <v>34540</v>
      </c>
      <c r="E4966" s="4">
        <f>13+13</f>
        <v>26</v>
      </c>
      <c r="F4966" s="129">
        <f>E4966+F4942</f>
        <v>369</v>
      </c>
    </row>
    <row r="4967" spans="1:6" x14ac:dyDescent="0.25">
      <c r="A4967" s="140" t="s">
        <v>45</v>
      </c>
      <c r="B4967" s="136">
        <v>44099</v>
      </c>
      <c r="C4967" s="4">
        <v>94</v>
      </c>
      <c r="D4967" s="29">
        <f t="shared" si="421"/>
        <v>2818</v>
      </c>
      <c r="E4967" s="4">
        <f>1+2</f>
        <v>3</v>
      </c>
      <c r="F4967" s="129">
        <f t="shared" si="420"/>
        <v>47</v>
      </c>
    </row>
    <row r="4968" spans="1:6" x14ac:dyDescent="0.25">
      <c r="A4968" s="140" t="s">
        <v>46</v>
      </c>
      <c r="B4968" s="136">
        <v>44099</v>
      </c>
      <c r="C4968" s="4">
        <v>37</v>
      </c>
      <c r="D4968" s="29">
        <f t="shared" si="421"/>
        <v>3540</v>
      </c>
      <c r="E4968" s="4">
        <f>1+1</f>
        <v>2</v>
      </c>
      <c r="F4968" s="129">
        <f>E4968+F4944</f>
        <v>62</v>
      </c>
    </row>
    <row r="4969" spans="1:6" ht="15.75" thickBot="1" x14ac:dyDescent="0.3">
      <c r="A4969" s="141" t="s">
        <v>47</v>
      </c>
      <c r="B4969" s="136">
        <v>44099</v>
      </c>
      <c r="C4969" s="4">
        <v>383</v>
      </c>
      <c r="D4969" s="132">
        <f t="shared" si="421"/>
        <v>11880</v>
      </c>
      <c r="E4969" s="4">
        <f>4+1</f>
        <v>5</v>
      </c>
      <c r="F4969" s="130">
        <f>E4969+F4945</f>
        <v>107</v>
      </c>
    </row>
    <row r="4970" spans="1:6" x14ac:dyDescent="0.25">
      <c r="A4970" s="64" t="s">
        <v>22</v>
      </c>
      <c r="B4970" s="136">
        <v>44100</v>
      </c>
      <c r="C4970" s="4">
        <v>4480</v>
      </c>
      <c r="D4970" s="131">
        <f>C4970+D4946</f>
        <v>398915</v>
      </c>
      <c r="E4970" s="4">
        <f>86+87</f>
        <v>173</v>
      </c>
      <c r="F4970" s="128">
        <f>E4970+F4946</f>
        <v>9350</v>
      </c>
    </row>
    <row r="4971" spans="1:6" x14ac:dyDescent="0.25">
      <c r="A4971" s="140" t="s">
        <v>20</v>
      </c>
      <c r="B4971" s="136">
        <v>44100</v>
      </c>
      <c r="C4971" s="4">
        <v>917</v>
      </c>
      <c r="D4971" s="29">
        <f t="shared" ref="D4971:D4983" si="422">C4971+D4947</f>
        <v>122660</v>
      </c>
      <c r="E4971" s="4">
        <f>30+29</f>
        <v>59</v>
      </c>
      <c r="F4971" s="129">
        <f>E4971+F4947</f>
        <v>3084</v>
      </c>
    </row>
    <row r="4972" spans="1:6" x14ac:dyDescent="0.25">
      <c r="A4972" s="140" t="s">
        <v>35</v>
      </c>
      <c r="B4972" s="136">
        <v>44100</v>
      </c>
      <c r="C4972" s="4">
        <v>4</v>
      </c>
      <c r="D4972" s="29">
        <f t="shared" si="422"/>
        <v>205</v>
      </c>
      <c r="F4972" s="129">
        <f>E4972+F4948</f>
        <v>0</v>
      </c>
    </row>
    <row r="4973" spans="1:6" x14ac:dyDescent="0.25">
      <c r="A4973" s="140" t="s">
        <v>21</v>
      </c>
      <c r="B4973" s="136">
        <v>44100</v>
      </c>
      <c r="C4973" s="4">
        <v>160</v>
      </c>
      <c r="D4973" s="29">
        <f t="shared" si="422"/>
        <v>8067</v>
      </c>
      <c r="E4973" s="4">
        <f>1+1</f>
        <v>2</v>
      </c>
      <c r="F4973" s="129">
        <f t="shared" ref="F4973:F4991" si="423">E4973+F4949</f>
        <v>277</v>
      </c>
    </row>
    <row r="4974" spans="1:6" x14ac:dyDescent="0.25">
      <c r="A4974" s="140" t="s">
        <v>36</v>
      </c>
      <c r="B4974" s="136">
        <v>44100</v>
      </c>
      <c r="C4974" s="4">
        <v>182</v>
      </c>
      <c r="D4974" s="29">
        <f t="shared" si="422"/>
        <v>3309</v>
      </c>
      <c r="E4974" s="4">
        <f>2+1</f>
        <v>3</v>
      </c>
      <c r="F4974" s="129">
        <f t="shared" si="423"/>
        <v>32</v>
      </c>
    </row>
    <row r="4975" spans="1:6" x14ac:dyDescent="0.25">
      <c r="A4975" s="140" t="s">
        <v>27</v>
      </c>
      <c r="B4975" s="136">
        <v>44100</v>
      </c>
      <c r="C4975" s="4">
        <v>1867</v>
      </c>
      <c r="D4975" s="29">
        <f t="shared" si="422"/>
        <v>27633</v>
      </c>
      <c r="E4975" s="4">
        <f>12+6</f>
        <v>18</v>
      </c>
      <c r="F4975" s="129">
        <f t="shared" si="423"/>
        <v>328</v>
      </c>
    </row>
    <row r="4976" spans="1:6" x14ac:dyDescent="0.25">
      <c r="A4976" s="140" t="s">
        <v>37</v>
      </c>
      <c r="B4976" s="136">
        <v>44100</v>
      </c>
      <c r="C4976" s="4">
        <v>12</v>
      </c>
      <c r="D4976" s="29">
        <f t="shared" si="422"/>
        <v>1014</v>
      </c>
      <c r="F4976" s="129">
        <f>E4976+F4952</f>
        <v>16</v>
      </c>
    </row>
    <row r="4977" spans="1:6" x14ac:dyDescent="0.25">
      <c r="A4977" s="140" t="s">
        <v>38</v>
      </c>
      <c r="B4977" s="136">
        <v>44100</v>
      </c>
      <c r="C4977" s="4">
        <v>146</v>
      </c>
      <c r="D4977" s="29">
        <f t="shared" si="422"/>
        <v>6956</v>
      </c>
      <c r="E4977" s="4">
        <f>1+1</f>
        <v>2</v>
      </c>
      <c r="F4977" s="129">
        <f>E4977+F4953</f>
        <v>129</v>
      </c>
    </row>
    <row r="4978" spans="1:6" x14ac:dyDescent="0.25">
      <c r="A4978" s="140" t="s">
        <v>48</v>
      </c>
      <c r="B4978" s="136">
        <v>44100</v>
      </c>
      <c r="C4978" s="4">
        <v>2</v>
      </c>
      <c r="D4978" s="29">
        <f t="shared" si="422"/>
        <v>104</v>
      </c>
      <c r="F4978" s="129">
        <f>E4978+F4954</f>
        <v>1</v>
      </c>
    </row>
    <row r="4979" spans="1:6" x14ac:dyDescent="0.25">
      <c r="A4979" s="140" t="s">
        <v>39</v>
      </c>
      <c r="B4979" s="136">
        <v>44100</v>
      </c>
      <c r="C4979" s="4">
        <v>209</v>
      </c>
      <c r="D4979" s="29">
        <f t="shared" si="422"/>
        <v>15205</v>
      </c>
      <c r="E4979" s="4">
        <f>11+8</f>
        <v>19</v>
      </c>
      <c r="F4979" s="129">
        <f>E4979+F4955</f>
        <v>413</v>
      </c>
    </row>
    <row r="4980" spans="1:6" x14ac:dyDescent="0.25">
      <c r="A4980" s="140" t="s">
        <v>40</v>
      </c>
      <c r="B4980" s="136">
        <v>44100</v>
      </c>
      <c r="C4980" s="4">
        <v>2</v>
      </c>
      <c r="D4980" s="29">
        <f t="shared" si="422"/>
        <v>684</v>
      </c>
      <c r="E4980" s="4">
        <f>1</f>
        <v>1</v>
      </c>
      <c r="F4980" s="129">
        <f t="shared" si="423"/>
        <v>5</v>
      </c>
    </row>
    <row r="4981" spans="1:6" x14ac:dyDescent="0.25">
      <c r="A4981" s="140" t="s">
        <v>28</v>
      </c>
      <c r="B4981" s="136">
        <v>44100</v>
      </c>
      <c r="C4981" s="4">
        <v>22</v>
      </c>
      <c r="D4981" s="29">
        <f t="shared" si="422"/>
        <v>4496</v>
      </c>
      <c r="F4981" s="129">
        <f t="shared" si="423"/>
        <v>101</v>
      </c>
    </row>
    <row r="4982" spans="1:6" x14ac:dyDescent="0.25">
      <c r="A4982" s="140" t="s">
        <v>24</v>
      </c>
      <c r="B4982" s="136">
        <v>44100</v>
      </c>
      <c r="C4982" s="4">
        <v>656</v>
      </c>
      <c r="D4982" s="29">
        <f t="shared" si="422"/>
        <v>22483</v>
      </c>
      <c r="E4982" s="4">
        <f>9+5</f>
        <v>14</v>
      </c>
      <c r="F4982" s="129">
        <f t="shared" si="423"/>
        <v>242</v>
      </c>
    </row>
    <row r="4983" spans="1:6" x14ac:dyDescent="0.25">
      <c r="A4983" s="140" t="s">
        <v>30</v>
      </c>
      <c r="B4983" s="136">
        <v>44100</v>
      </c>
      <c r="C4983" s="4">
        <v>-5</v>
      </c>
      <c r="D4983" s="29">
        <f t="shared" si="422"/>
        <v>82</v>
      </c>
      <c r="F4983" s="129">
        <f t="shared" si="423"/>
        <v>2</v>
      </c>
    </row>
    <row r="4984" spans="1:6" x14ac:dyDescent="0.25">
      <c r="A4984" s="140" t="s">
        <v>26</v>
      </c>
      <c r="B4984" s="136">
        <v>44100</v>
      </c>
      <c r="C4984" s="4">
        <v>180</v>
      </c>
      <c r="D4984" s="29">
        <f>C4984+D4960</f>
        <v>7155</v>
      </c>
      <c r="E4984" s="4">
        <f>5</f>
        <v>5</v>
      </c>
      <c r="F4984" s="129">
        <f t="shared" si="423"/>
        <v>109</v>
      </c>
    </row>
    <row r="4985" spans="1:6" x14ac:dyDescent="0.25">
      <c r="A4985" s="140" t="s">
        <v>25</v>
      </c>
      <c r="B4985" s="136">
        <v>44100</v>
      </c>
      <c r="C4985" s="4">
        <v>243</v>
      </c>
      <c r="D4985" s="29">
        <f>C4985+D4961</f>
        <v>11718</v>
      </c>
      <c r="E4985" s="4">
        <f>1</f>
        <v>1</v>
      </c>
      <c r="F4985" s="129">
        <f t="shared" si="423"/>
        <v>257</v>
      </c>
    </row>
    <row r="4986" spans="1:6" x14ac:dyDescent="0.25">
      <c r="A4986" s="140" t="s">
        <v>41</v>
      </c>
      <c r="B4986" s="136">
        <v>44100</v>
      </c>
      <c r="C4986" s="4">
        <v>301</v>
      </c>
      <c r="D4986" s="29">
        <f>C4986+D4962</f>
        <v>11253</v>
      </c>
      <c r="E4986" s="4">
        <f>12+3</f>
        <v>15</v>
      </c>
      <c r="F4986" s="129">
        <f>E4986+F4962</f>
        <v>293</v>
      </c>
    </row>
    <row r="4987" spans="1:6" x14ac:dyDescent="0.25">
      <c r="A4987" s="140" t="s">
        <v>42</v>
      </c>
      <c r="B4987" s="136">
        <v>44100</v>
      </c>
      <c r="C4987" s="4">
        <v>2</v>
      </c>
      <c r="D4987" s="29">
        <f t="shared" ref="D4987:D4993" si="424">C4987+D4963</f>
        <v>558</v>
      </c>
      <c r="E4987" s="4">
        <f>1+2</f>
        <v>3</v>
      </c>
      <c r="F4987" s="129">
        <f>E4987+F4963</f>
        <v>28</v>
      </c>
    </row>
    <row r="4988" spans="1:6" x14ac:dyDescent="0.25">
      <c r="A4988" s="140" t="s">
        <v>43</v>
      </c>
      <c r="B4988" s="136">
        <v>44100</v>
      </c>
      <c r="C4988" s="4">
        <v>1</v>
      </c>
      <c r="D4988" s="29">
        <f t="shared" si="424"/>
        <v>1086</v>
      </c>
      <c r="F4988" s="129">
        <f t="shared" si="423"/>
        <v>4</v>
      </c>
    </row>
    <row r="4989" spans="1:6" x14ac:dyDescent="0.25">
      <c r="A4989" s="140" t="s">
        <v>44</v>
      </c>
      <c r="B4989" s="136">
        <v>44100</v>
      </c>
      <c r="C4989" s="4">
        <v>125</v>
      </c>
      <c r="D4989" s="29">
        <f t="shared" si="424"/>
        <v>4380</v>
      </c>
      <c r="E4989" s="4">
        <f>3+2</f>
        <v>5</v>
      </c>
      <c r="F4989" s="129">
        <f>E4989+F4965</f>
        <v>55</v>
      </c>
    </row>
    <row r="4990" spans="1:6" x14ac:dyDescent="0.25">
      <c r="A4990" s="140" t="s">
        <v>29</v>
      </c>
      <c r="B4990" s="136">
        <v>44100</v>
      </c>
      <c r="C4990" s="4">
        <v>1311</v>
      </c>
      <c r="D4990" s="29">
        <f t="shared" si="424"/>
        <v>35851</v>
      </c>
      <c r="E4990" s="4">
        <f>7+8</f>
        <v>15</v>
      </c>
      <c r="F4990" s="129">
        <f>E4990+F4966</f>
        <v>384</v>
      </c>
    </row>
    <row r="4991" spans="1:6" x14ac:dyDescent="0.25">
      <c r="A4991" s="140" t="s">
        <v>45</v>
      </c>
      <c r="B4991" s="136">
        <v>44100</v>
      </c>
      <c r="C4991" s="4">
        <v>71</v>
      </c>
      <c r="D4991" s="29">
        <f t="shared" si="424"/>
        <v>2889</v>
      </c>
      <c r="E4991" s="4">
        <f>2</f>
        <v>2</v>
      </c>
      <c r="F4991" s="129">
        <f t="shared" si="423"/>
        <v>49</v>
      </c>
    </row>
    <row r="4992" spans="1:6" x14ac:dyDescent="0.25">
      <c r="A4992" s="140" t="s">
        <v>46</v>
      </c>
      <c r="B4992" s="136">
        <v>44100</v>
      </c>
      <c r="C4992" s="4">
        <v>102</v>
      </c>
      <c r="D4992" s="29">
        <f t="shared" si="424"/>
        <v>3642</v>
      </c>
      <c r="F4992" s="129">
        <f>E4992+F4968</f>
        <v>62</v>
      </c>
    </row>
    <row r="4993" spans="1:6" ht="15.75" thickBot="1" x14ac:dyDescent="0.3">
      <c r="A4993" s="141" t="s">
        <v>47</v>
      </c>
      <c r="B4993" s="136">
        <v>44100</v>
      </c>
      <c r="C4993" s="4">
        <v>249</v>
      </c>
      <c r="D4993" s="132">
        <f t="shared" si="424"/>
        <v>12129</v>
      </c>
      <c r="F4993" s="130">
        <f>E4993+F4969</f>
        <v>107</v>
      </c>
    </row>
    <row r="4994" spans="1:6" x14ac:dyDescent="0.25">
      <c r="A4994" s="64" t="s">
        <v>22</v>
      </c>
      <c r="B4994" s="136">
        <v>44101</v>
      </c>
      <c r="C4994" s="4">
        <v>2947</v>
      </c>
      <c r="D4994" s="131">
        <f>C4994+D4970</f>
        <v>401862</v>
      </c>
      <c r="E4994" s="4">
        <f>35+33</f>
        <v>68</v>
      </c>
      <c r="F4994" s="128">
        <f>E4994+F4970</f>
        <v>9418</v>
      </c>
    </row>
    <row r="4995" spans="1:6" x14ac:dyDescent="0.25">
      <c r="A4995" s="140" t="s">
        <v>20</v>
      </c>
      <c r="B4995" s="136">
        <v>44101</v>
      </c>
      <c r="C4995" s="4">
        <v>628</v>
      </c>
      <c r="D4995" s="29">
        <f t="shared" ref="D4995:D5007" si="425">C4995+D4971</f>
        <v>123288</v>
      </c>
      <c r="E4995" s="4">
        <f>30+32</f>
        <v>62</v>
      </c>
      <c r="F4995" s="129">
        <f>E4995+F4971</f>
        <v>3146</v>
      </c>
    </row>
    <row r="4996" spans="1:6" x14ac:dyDescent="0.25">
      <c r="A4996" s="140" t="s">
        <v>35</v>
      </c>
      <c r="B4996" s="136">
        <v>44101</v>
      </c>
      <c r="C4996" s="4">
        <v>67</v>
      </c>
      <c r="D4996" s="29">
        <f t="shared" si="425"/>
        <v>272</v>
      </c>
      <c r="E4996" s="4">
        <f>0</f>
        <v>0</v>
      </c>
      <c r="F4996" s="129">
        <f>E4996+F4972</f>
        <v>0</v>
      </c>
    </row>
    <row r="4997" spans="1:6" x14ac:dyDescent="0.25">
      <c r="A4997" s="140" t="s">
        <v>21</v>
      </c>
      <c r="B4997" s="136">
        <v>44101</v>
      </c>
      <c r="C4997" s="4">
        <v>111</v>
      </c>
      <c r="D4997" s="29">
        <f t="shared" si="425"/>
        <v>8178</v>
      </c>
      <c r="E4997" s="4">
        <f>1</f>
        <v>1</v>
      </c>
      <c r="F4997" s="129">
        <f t="shared" ref="F4997:F5015" si="426">E4997+F4973</f>
        <v>278</v>
      </c>
    </row>
    <row r="4998" spans="1:6" x14ac:dyDescent="0.25">
      <c r="A4998" s="140" t="s">
        <v>36</v>
      </c>
      <c r="B4998" s="136">
        <v>44101</v>
      </c>
      <c r="C4998" s="4">
        <v>100</v>
      </c>
      <c r="D4998" s="29">
        <f t="shared" si="425"/>
        <v>3409</v>
      </c>
      <c r="F4998" s="129">
        <f t="shared" si="426"/>
        <v>32</v>
      </c>
    </row>
    <row r="4999" spans="1:6" x14ac:dyDescent="0.25">
      <c r="A4999" s="140" t="s">
        <v>27</v>
      </c>
      <c r="B4999" s="136">
        <v>44101</v>
      </c>
      <c r="C4999" s="4">
        <v>1577</v>
      </c>
      <c r="D4999" s="29">
        <f t="shared" si="425"/>
        <v>29210</v>
      </c>
      <c r="E4999" s="4">
        <f>7+10</f>
        <v>17</v>
      </c>
      <c r="F4999" s="129">
        <f t="shared" si="426"/>
        <v>345</v>
      </c>
    </row>
    <row r="5000" spans="1:6" x14ac:dyDescent="0.25">
      <c r="A5000" s="140" t="s">
        <v>37</v>
      </c>
      <c r="B5000" s="136">
        <v>44101</v>
      </c>
      <c r="C5000" s="4">
        <v>49</v>
      </c>
      <c r="D5000" s="29">
        <f t="shared" si="425"/>
        <v>1063</v>
      </c>
      <c r="E5000" s="4">
        <f>3</f>
        <v>3</v>
      </c>
      <c r="F5000" s="129">
        <f>E5000+F4976</f>
        <v>19</v>
      </c>
    </row>
    <row r="5001" spans="1:6" x14ac:dyDescent="0.25">
      <c r="A5001" s="140" t="s">
        <v>38</v>
      </c>
      <c r="B5001" s="136">
        <v>44101</v>
      </c>
      <c r="C5001" s="4">
        <v>85</v>
      </c>
      <c r="D5001" s="29">
        <f t="shared" si="425"/>
        <v>7041</v>
      </c>
      <c r="E5001" s="4">
        <f>2</f>
        <v>2</v>
      </c>
      <c r="F5001" s="129">
        <f>E5001+F4977</f>
        <v>131</v>
      </c>
    </row>
    <row r="5002" spans="1:6" x14ac:dyDescent="0.25">
      <c r="A5002" s="140" t="s">
        <v>48</v>
      </c>
      <c r="B5002" s="136">
        <v>44101</v>
      </c>
      <c r="C5002" s="4">
        <v>1</v>
      </c>
      <c r="D5002" s="29">
        <f t="shared" si="425"/>
        <v>105</v>
      </c>
      <c r="F5002" s="129">
        <f>E5002+F4978</f>
        <v>1</v>
      </c>
    </row>
    <row r="5003" spans="1:6" x14ac:dyDescent="0.25">
      <c r="A5003" s="140" t="s">
        <v>39</v>
      </c>
      <c r="B5003" s="136">
        <v>44101</v>
      </c>
      <c r="C5003" s="4">
        <v>97</v>
      </c>
      <c r="D5003" s="29">
        <f t="shared" si="425"/>
        <v>15302</v>
      </c>
      <c r="E5003" s="4">
        <f>11+7</f>
        <v>18</v>
      </c>
      <c r="F5003" s="129">
        <f>E5003+F4979</f>
        <v>431</v>
      </c>
    </row>
    <row r="5004" spans="1:6" x14ac:dyDescent="0.25">
      <c r="A5004" s="140" t="s">
        <v>40</v>
      </c>
      <c r="B5004" s="136">
        <v>44101</v>
      </c>
      <c r="C5004" s="4">
        <v>10</v>
      </c>
      <c r="D5004" s="29">
        <f t="shared" si="425"/>
        <v>694</v>
      </c>
      <c r="E5004" s="4">
        <f>2</f>
        <v>2</v>
      </c>
      <c r="F5004" s="129">
        <f t="shared" si="426"/>
        <v>7</v>
      </c>
    </row>
    <row r="5005" spans="1:6" x14ac:dyDescent="0.25">
      <c r="A5005" s="140" t="s">
        <v>28</v>
      </c>
      <c r="B5005" s="136">
        <v>44101</v>
      </c>
      <c r="C5005" s="4">
        <v>86</v>
      </c>
      <c r="D5005" s="29">
        <f t="shared" si="425"/>
        <v>4582</v>
      </c>
      <c r="F5005" s="129">
        <f t="shared" si="426"/>
        <v>101</v>
      </c>
    </row>
    <row r="5006" spans="1:6" x14ac:dyDescent="0.25">
      <c r="A5006" s="140" t="s">
        <v>24</v>
      </c>
      <c r="B5006" s="136">
        <v>44101</v>
      </c>
      <c r="C5006" s="4">
        <v>558</v>
      </c>
      <c r="D5006" s="29">
        <f t="shared" si="425"/>
        <v>23041</v>
      </c>
      <c r="E5006" s="4">
        <f>2</f>
        <v>2</v>
      </c>
      <c r="F5006" s="129">
        <f t="shared" si="426"/>
        <v>244</v>
      </c>
    </row>
    <row r="5007" spans="1:6" x14ac:dyDescent="0.25">
      <c r="A5007" s="140" t="s">
        <v>30</v>
      </c>
      <c r="B5007" s="136">
        <v>44101</v>
      </c>
      <c r="C5007" s="4">
        <v>3</v>
      </c>
      <c r="D5007" s="29">
        <f t="shared" si="425"/>
        <v>85</v>
      </c>
      <c r="F5007" s="129">
        <f t="shared" si="426"/>
        <v>2</v>
      </c>
    </row>
    <row r="5008" spans="1:6" x14ac:dyDescent="0.25">
      <c r="A5008" s="140" t="s">
        <v>26</v>
      </c>
      <c r="B5008" s="136">
        <v>44101</v>
      </c>
      <c r="C5008" s="4">
        <v>181</v>
      </c>
      <c r="D5008" s="29">
        <f>C5008+D4984</f>
        <v>7336</v>
      </c>
      <c r="E5008" s="4">
        <f>2</f>
        <v>2</v>
      </c>
      <c r="F5008" s="129">
        <f t="shared" si="426"/>
        <v>111</v>
      </c>
    </row>
    <row r="5009" spans="1:6" x14ac:dyDescent="0.25">
      <c r="A5009" s="140" t="s">
        <v>25</v>
      </c>
      <c r="B5009" s="136">
        <v>44101</v>
      </c>
      <c r="C5009" s="4">
        <v>200</v>
      </c>
      <c r="D5009" s="29">
        <f>C5009+D4985</f>
        <v>11918</v>
      </c>
      <c r="E5009" s="4">
        <f>6+2</f>
        <v>8</v>
      </c>
      <c r="F5009" s="129">
        <f t="shared" si="426"/>
        <v>265</v>
      </c>
    </row>
    <row r="5010" spans="1:6" x14ac:dyDescent="0.25">
      <c r="A5010" s="140" t="s">
        <v>41</v>
      </c>
      <c r="B5010" s="136">
        <v>44101</v>
      </c>
      <c r="C5010" s="4">
        <v>244</v>
      </c>
      <c r="D5010" s="29">
        <f>C5010+D4986</f>
        <v>11497</v>
      </c>
      <c r="E5010" s="4">
        <f>2+1</f>
        <v>3</v>
      </c>
      <c r="F5010" s="129">
        <f>E5010+F4986</f>
        <v>296</v>
      </c>
    </row>
    <row r="5011" spans="1:6" x14ac:dyDescent="0.25">
      <c r="A5011" s="140" t="s">
        <v>42</v>
      </c>
      <c r="B5011" s="136">
        <v>44101</v>
      </c>
      <c r="C5011" s="4">
        <v>65</v>
      </c>
      <c r="D5011" s="29">
        <f t="shared" ref="D5011:D5017" si="427">C5011+D4987</f>
        <v>623</v>
      </c>
      <c r="F5011" s="129">
        <f>E5011+F4987</f>
        <v>28</v>
      </c>
    </row>
    <row r="5012" spans="1:6" x14ac:dyDescent="0.25">
      <c r="A5012" s="140" t="s">
        <v>43</v>
      </c>
      <c r="B5012" s="136">
        <v>44101</v>
      </c>
      <c r="C5012" s="4">
        <v>5</v>
      </c>
      <c r="D5012" s="29">
        <f t="shared" si="427"/>
        <v>1091</v>
      </c>
      <c r="F5012" s="129">
        <f t="shared" si="426"/>
        <v>4</v>
      </c>
    </row>
    <row r="5013" spans="1:6" x14ac:dyDescent="0.25">
      <c r="A5013" s="140" t="s">
        <v>44</v>
      </c>
      <c r="B5013" s="136">
        <v>44101</v>
      </c>
      <c r="C5013" s="4">
        <v>77</v>
      </c>
      <c r="D5013" s="29">
        <f t="shared" si="427"/>
        <v>4457</v>
      </c>
      <c r="E5013" s="4">
        <f>1+1</f>
        <v>2</v>
      </c>
      <c r="F5013" s="129">
        <f>E5013+F4989</f>
        <v>57</v>
      </c>
    </row>
    <row r="5014" spans="1:6" x14ac:dyDescent="0.25">
      <c r="A5014" s="140" t="s">
        <v>29</v>
      </c>
      <c r="B5014" s="136">
        <v>44101</v>
      </c>
      <c r="C5014" s="4">
        <v>944</v>
      </c>
      <c r="D5014" s="29">
        <f t="shared" si="427"/>
        <v>36795</v>
      </c>
      <c r="E5014" s="4">
        <f>6+7</f>
        <v>13</v>
      </c>
      <c r="F5014" s="129">
        <f>E5014+F4990</f>
        <v>397</v>
      </c>
    </row>
    <row r="5015" spans="1:6" x14ac:dyDescent="0.25">
      <c r="A5015" s="140" t="s">
        <v>45</v>
      </c>
      <c r="B5015" s="136">
        <v>44101</v>
      </c>
      <c r="C5015" s="4">
        <v>168</v>
      </c>
      <c r="D5015" s="29">
        <f t="shared" si="427"/>
        <v>3057</v>
      </c>
      <c r="E5015" s="4">
        <f>2+1</f>
        <v>3</v>
      </c>
      <c r="F5015" s="129">
        <f t="shared" si="426"/>
        <v>52</v>
      </c>
    </row>
    <row r="5016" spans="1:6" x14ac:dyDescent="0.25">
      <c r="A5016" s="140" t="s">
        <v>46</v>
      </c>
      <c r="B5016" s="136">
        <v>44101</v>
      </c>
      <c r="C5016" s="4">
        <v>86</v>
      </c>
      <c r="D5016" s="29">
        <f t="shared" si="427"/>
        <v>3728</v>
      </c>
      <c r="F5016" s="129">
        <f>E5016+F4992</f>
        <v>62</v>
      </c>
    </row>
    <row r="5017" spans="1:6" ht="15.75" thickBot="1" x14ac:dyDescent="0.3">
      <c r="A5017" s="142" t="s">
        <v>47</v>
      </c>
      <c r="B5017" s="138">
        <v>44101</v>
      </c>
      <c r="C5017" s="47">
        <v>552</v>
      </c>
      <c r="D5017" s="85">
        <f t="shared" si="427"/>
        <v>12681</v>
      </c>
      <c r="E5017" s="47"/>
      <c r="F5017" s="139">
        <f>E5017+F4993</f>
        <v>107</v>
      </c>
    </row>
    <row r="5018" spans="1:6" x14ac:dyDescent="0.25">
      <c r="A5018" s="64" t="s">
        <v>22</v>
      </c>
      <c r="B5018" s="49">
        <v>44102</v>
      </c>
      <c r="C5018" s="50">
        <v>4544</v>
      </c>
      <c r="D5018" s="131">
        <f>C5018+D4994</f>
        <v>406406</v>
      </c>
      <c r="E5018" s="50">
        <v>193</v>
      </c>
      <c r="F5018" s="128">
        <f>E5018+F4994</f>
        <v>9611</v>
      </c>
    </row>
    <row r="5019" spans="1:6" x14ac:dyDescent="0.25">
      <c r="A5019" s="140" t="s">
        <v>20</v>
      </c>
      <c r="B5019" s="136">
        <v>44102</v>
      </c>
      <c r="C5019" s="4">
        <v>787</v>
      </c>
      <c r="D5019" s="29">
        <f t="shared" ref="D5019:D5031" si="428">C5019+D4995</f>
        <v>124075</v>
      </c>
      <c r="E5019" s="4">
        <v>38</v>
      </c>
      <c r="F5019" s="129">
        <f>E5019+F4995</f>
        <v>3184</v>
      </c>
    </row>
    <row r="5020" spans="1:6" x14ac:dyDescent="0.25">
      <c r="A5020" s="140" t="s">
        <v>35</v>
      </c>
      <c r="B5020" s="136">
        <v>44102</v>
      </c>
      <c r="C5020" s="4">
        <v>3</v>
      </c>
      <c r="D5020" s="29">
        <f t="shared" si="428"/>
        <v>275</v>
      </c>
      <c r="F5020" s="129">
        <f>E5020+F4996</f>
        <v>0</v>
      </c>
    </row>
    <row r="5021" spans="1:6" x14ac:dyDescent="0.25">
      <c r="A5021" s="140" t="s">
        <v>21</v>
      </c>
      <c r="B5021" s="136">
        <v>44102</v>
      </c>
      <c r="C5021" s="4">
        <v>65</v>
      </c>
      <c r="D5021" s="29">
        <f t="shared" si="428"/>
        <v>8243</v>
      </c>
      <c r="E5021" s="4">
        <v>2</v>
      </c>
      <c r="F5021" s="129">
        <f t="shared" ref="F5021:F5039" si="429">E5021+F4997</f>
        <v>280</v>
      </c>
    </row>
    <row r="5022" spans="1:6" x14ac:dyDescent="0.25">
      <c r="A5022" s="140" t="s">
        <v>36</v>
      </c>
      <c r="B5022" s="136">
        <v>44102</v>
      </c>
      <c r="C5022" s="4">
        <v>181</v>
      </c>
      <c r="D5022" s="29">
        <f t="shared" si="428"/>
        <v>3590</v>
      </c>
      <c r="E5022" s="4">
        <v>5</v>
      </c>
      <c r="F5022" s="129">
        <f t="shared" si="429"/>
        <v>37</v>
      </c>
    </row>
    <row r="5023" spans="1:6" x14ac:dyDescent="0.25">
      <c r="A5023" s="140" t="s">
        <v>27</v>
      </c>
      <c r="B5023" s="136">
        <v>44102</v>
      </c>
      <c r="C5023" s="4">
        <v>1475</v>
      </c>
      <c r="D5023" s="29">
        <f t="shared" si="428"/>
        <v>30685</v>
      </c>
      <c r="E5023" s="4">
        <v>12</v>
      </c>
      <c r="F5023" s="129">
        <f t="shared" si="429"/>
        <v>357</v>
      </c>
    </row>
    <row r="5024" spans="1:6" x14ac:dyDescent="0.25">
      <c r="A5024" s="140" t="s">
        <v>37</v>
      </c>
      <c r="B5024" s="136">
        <v>44102</v>
      </c>
      <c r="C5024" s="4">
        <v>22</v>
      </c>
      <c r="D5024" s="29">
        <f t="shared" si="428"/>
        <v>1085</v>
      </c>
      <c r="E5024" s="4">
        <v>4</v>
      </c>
      <c r="F5024" s="129">
        <f>E5024+F5000</f>
        <v>23</v>
      </c>
    </row>
    <row r="5025" spans="1:6" x14ac:dyDescent="0.25">
      <c r="A5025" s="140" t="s">
        <v>38</v>
      </c>
      <c r="B5025" s="136">
        <v>44102</v>
      </c>
      <c r="C5025" s="4">
        <v>103</v>
      </c>
      <c r="D5025" s="29">
        <f t="shared" si="428"/>
        <v>7144</v>
      </c>
      <c r="E5025" s="4">
        <v>1</v>
      </c>
      <c r="F5025" s="129">
        <f>E5025+F5001</f>
        <v>132</v>
      </c>
    </row>
    <row r="5026" spans="1:6" x14ac:dyDescent="0.25">
      <c r="A5026" s="140" t="s">
        <v>48</v>
      </c>
      <c r="B5026" s="136">
        <v>44102</v>
      </c>
      <c r="C5026" s="4">
        <v>-1</v>
      </c>
      <c r="D5026" s="29">
        <f t="shared" si="428"/>
        <v>104</v>
      </c>
      <c r="F5026" s="129">
        <f>E5026+F5002</f>
        <v>1</v>
      </c>
    </row>
    <row r="5027" spans="1:6" x14ac:dyDescent="0.25">
      <c r="A5027" s="140" t="s">
        <v>39</v>
      </c>
      <c r="B5027" s="136">
        <v>44102</v>
      </c>
      <c r="C5027" s="4">
        <v>109</v>
      </c>
      <c r="D5027" s="29">
        <f t="shared" si="428"/>
        <v>15411</v>
      </c>
      <c r="E5027" s="4">
        <v>33</v>
      </c>
      <c r="F5027" s="129">
        <f>E5027+F5003</f>
        <v>464</v>
      </c>
    </row>
    <row r="5028" spans="1:6" x14ac:dyDescent="0.25">
      <c r="A5028" s="140" t="s">
        <v>40</v>
      </c>
      <c r="B5028" s="136">
        <v>44102</v>
      </c>
      <c r="C5028" s="4">
        <v>25</v>
      </c>
      <c r="D5028" s="29">
        <f t="shared" si="428"/>
        <v>719</v>
      </c>
      <c r="F5028" s="129">
        <f t="shared" si="429"/>
        <v>7</v>
      </c>
    </row>
    <row r="5029" spans="1:6" x14ac:dyDescent="0.25">
      <c r="A5029" s="140" t="s">
        <v>28</v>
      </c>
      <c r="B5029" s="136">
        <v>44102</v>
      </c>
      <c r="C5029" s="4">
        <v>69</v>
      </c>
      <c r="D5029" s="29">
        <f t="shared" si="428"/>
        <v>4651</v>
      </c>
      <c r="F5029" s="129">
        <f t="shared" si="429"/>
        <v>101</v>
      </c>
    </row>
    <row r="5030" spans="1:6" x14ac:dyDescent="0.25">
      <c r="A5030" s="140" t="s">
        <v>24</v>
      </c>
      <c r="B5030" s="136">
        <v>44102</v>
      </c>
      <c r="C5030" s="4">
        <v>649</v>
      </c>
      <c r="D5030" s="29">
        <f t="shared" si="428"/>
        <v>23690</v>
      </c>
      <c r="E5030" s="4">
        <v>2</v>
      </c>
      <c r="F5030" s="129">
        <f t="shared" si="429"/>
        <v>246</v>
      </c>
    </row>
    <row r="5031" spans="1:6" x14ac:dyDescent="0.25">
      <c r="A5031" s="140" t="s">
        <v>30</v>
      </c>
      <c r="B5031" s="136">
        <v>44102</v>
      </c>
      <c r="C5031" s="4">
        <v>-6</v>
      </c>
      <c r="D5031" s="29">
        <f t="shared" si="428"/>
        <v>79</v>
      </c>
      <c r="E5031" s="4">
        <v>1</v>
      </c>
      <c r="F5031" s="129">
        <f t="shared" si="429"/>
        <v>3</v>
      </c>
    </row>
    <row r="5032" spans="1:6" x14ac:dyDescent="0.25">
      <c r="A5032" s="140" t="s">
        <v>26</v>
      </c>
      <c r="B5032" s="136">
        <v>44102</v>
      </c>
      <c r="C5032" s="4">
        <v>288</v>
      </c>
      <c r="D5032" s="29">
        <f>C5032+D5008</f>
        <v>7624</v>
      </c>
      <c r="E5032" s="4">
        <v>3</v>
      </c>
      <c r="F5032" s="129">
        <f t="shared" si="429"/>
        <v>114</v>
      </c>
    </row>
    <row r="5033" spans="1:6" x14ac:dyDescent="0.25">
      <c r="A5033" s="140" t="s">
        <v>25</v>
      </c>
      <c r="B5033" s="136">
        <v>44102</v>
      </c>
      <c r="C5033" s="4">
        <v>213</v>
      </c>
      <c r="D5033" s="29">
        <f>C5033+D5009</f>
        <v>12131</v>
      </c>
      <c r="E5033" s="4">
        <v>6</v>
      </c>
      <c r="F5033" s="129">
        <f t="shared" si="429"/>
        <v>271</v>
      </c>
    </row>
    <row r="5034" spans="1:6" x14ac:dyDescent="0.25">
      <c r="A5034" s="140" t="s">
        <v>41</v>
      </c>
      <c r="B5034" s="136">
        <v>44102</v>
      </c>
      <c r="C5034" s="4">
        <v>234</v>
      </c>
      <c r="D5034" s="29">
        <f>C5034+D5010</f>
        <v>11731</v>
      </c>
      <c r="E5034" s="4">
        <v>19</v>
      </c>
      <c r="F5034" s="129">
        <f>E5034+F5010</f>
        <v>315</v>
      </c>
    </row>
    <row r="5035" spans="1:6" x14ac:dyDescent="0.25">
      <c r="A5035" s="140" t="s">
        <v>42</v>
      </c>
      <c r="B5035" s="136">
        <v>44102</v>
      </c>
      <c r="C5035" s="4">
        <v>72</v>
      </c>
      <c r="D5035" s="29">
        <f t="shared" ref="D5035:D5041" si="430">C5035+D5011</f>
        <v>695</v>
      </c>
      <c r="F5035" s="129">
        <f>E5035+F5011</f>
        <v>28</v>
      </c>
    </row>
    <row r="5036" spans="1:6" x14ac:dyDescent="0.25">
      <c r="A5036" s="140" t="s">
        <v>43</v>
      </c>
      <c r="B5036" s="136">
        <v>44102</v>
      </c>
      <c r="C5036" s="4">
        <v>100</v>
      </c>
      <c r="D5036" s="29">
        <f t="shared" si="430"/>
        <v>1191</v>
      </c>
      <c r="E5036" s="4">
        <v>1</v>
      </c>
      <c r="F5036" s="129">
        <f t="shared" si="429"/>
        <v>5</v>
      </c>
    </row>
    <row r="5037" spans="1:6" x14ac:dyDescent="0.25">
      <c r="A5037" s="140" t="s">
        <v>44</v>
      </c>
      <c r="B5037" s="136">
        <v>44102</v>
      </c>
      <c r="C5037" s="4">
        <v>129</v>
      </c>
      <c r="D5037" s="29">
        <f t="shared" si="430"/>
        <v>4586</v>
      </c>
      <c r="E5037" s="4">
        <v>1</v>
      </c>
      <c r="F5037" s="129">
        <f>E5037+F5013</f>
        <v>58</v>
      </c>
    </row>
    <row r="5038" spans="1:6" x14ac:dyDescent="0.25">
      <c r="A5038" s="140" t="s">
        <v>29</v>
      </c>
      <c r="B5038" s="136">
        <v>44102</v>
      </c>
      <c r="C5038" s="4">
        <v>1575</v>
      </c>
      <c r="D5038" s="29">
        <f t="shared" si="430"/>
        <v>38370</v>
      </c>
      <c r="E5038" s="4">
        <v>24</v>
      </c>
      <c r="F5038" s="129">
        <f>E5038+F5014</f>
        <v>421</v>
      </c>
    </row>
    <row r="5039" spans="1:6" x14ac:dyDescent="0.25">
      <c r="A5039" s="140" t="s">
        <v>45</v>
      </c>
      <c r="B5039" s="136">
        <v>44102</v>
      </c>
      <c r="C5039" s="4">
        <v>124</v>
      </c>
      <c r="D5039" s="29">
        <f t="shared" si="430"/>
        <v>3181</v>
      </c>
      <c r="E5039" s="4">
        <v>5</v>
      </c>
      <c r="F5039" s="129">
        <f t="shared" si="429"/>
        <v>57</v>
      </c>
    </row>
    <row r="5040" spans="1:6" x14ac:dyDescent="0.25">
      <c r="A5040" s="140" t="s">
        <v>46</v>
      </c>
      <c r="B5040" s="136">
        <v>44102</v>
      </c>
      <c r="C5040" s="4">
        <v>158</v>
      </c>
      <c r="D5040" s="29">
        <f t="shared" si="430"/>
        <v>3886</v>
      </c>
      <c r="E5040" s="4">
        <v>3</v>
      </c>
      <c r="F5040" s="129">
        <f>E5040+F5016</f>
        <v>65</v>
      </c>
    </row>
    <row r="5041" spans="1:6" ht="15.75" thickBot="1" x14ac:dyDescent="0.3">
      <c r="A5041" s="141" t="s">
        <v>47</v>
      </c>
      <c r="B5041" s="145">
        <v>44102</v>
      </c>
      <c r="C5041" s="54">
        <v>889</v>
      </c>
      <c r="D5041" s="132">
        <f t="shared" si="430"/>
        <v>13570</v>
      </c>
      <c r="E5041" s="54">
        <v>12</v>
      </c>
      <c r="F5041" s="130">
        <f>E5041+F5017</f>
        <v>119</v>
      </c>
    </row>
    <row r="5042" spans="1:6" x14ac:dyDescent="0.25">
      <c r="A5042" s="64" t="s">
        <v>22</v>
      </c>
      <c r="B5042" s="136">
        <v>44103</v>
      </c>
      <c r="C5042" s="48">
        <v>5328</v>
      </c>
      <c r="D5042" s="131">
        <f>C5042+D5018</f>
        <v>411734</v>
      </c>
      <c r="E5042" s="48">
        <v>249</v>
      </c>
      <c r="F5042" s="128">
        <f>E5042+F5018</f>
        <v>9860</v>
      </c>
    </row>
    <row r="5043" spans="1:6" x14ac:dyDescent="0.25">
      <c r="A5043" s="140" t="s">
        <v>20</v>
      </c>
      <c r="B5043" s="136">
        <v>44103</v>
      </c>
      <c r="C5043" s="4">
        <v>993</v>
      </c>
      <c r="D5043" s="29">
        <f t="shared" ref="D5043:D5055" si="431">C5043+D5019</f>
        <v>125068</v>
      </c>
      <c r="E5043" s="4">
        <v>52</v>
      </c>
      <c r="F5043" s="129">
        <f>E5043+F5019</f>
        <v>3236</v>
      </c>
    </row>
    <row r="5044" spans="1:6" x14ac:dyDescent="0.25">
      <c r="A5044" s="140" t="s">
        <v>35</v>
      </c>
      <c r="B5044" s="136">
        <v>44103</v>
      </c>
      <c r="C5044" s="4">
        <v>4</v>
      </c>
      <c r="D5044" s="29">
        <f t="shared" si="431"/>
        <v>279</v>
      </c>
      <c r="F5044" s="129">
        <f>E5044+F5020</f>
        <v>0</v>
      </c>
    </row>
    <row r="5045" spans="1:6" x14ac:dyDescent="0.25">
      <c r="A5045" s="140" t="s">
        <v>21</v>
      </c>
      <c r="B5045" s="136">
        <v>44103</v>
      </c>
      <c r="C5045" s="4">
        <v>143</v>
      </c>
      <c r="D5045" s="29">
        <f t="shared" si="431"/>
        <v>8386</v>
      </c>
      <c r="E5045" s="4">
        <v>1</v>
      </c>
      <c r="F5045" s="129">
        <f t="shared" ref="F5045:F5063" si="432">E5045+F5021</f>
        <v>281</v>
      </c>
    </row>
    <row r="5046" spans="1:6" x14ac:dyDescent="0.25">
      <c r="A5046" s="140" t="s">
        <v>36</v>
      </c>
      <c r="B5046" s="136">
        <v>44103</v>
      </c>
      <c r="C5046" s="4">
        <v>209</v>
      </c>
      <c r="D5046" s="29">
        <f t="shared" si="431"/>
        <v>3799</v>
      </c>
      <c r="E5046" s="4">
        <v>7</v>
      </c>
      <c r="F5046" s="129">
        <f t="shared" si="432"/>
        <v>44</v>
      </c>
    </row>
    <row r="5047" spans="1:6" x14ac:dyDescent="0.25">
      <c r="A5047" s="140" t="s">
        <v>27</v>
      </c>
      <c r="B5047" s="136">
        <v>44103</v>
      </c>
      <c r="C5047" s="4">
        <v>1800</v>
      </c>
      <c r="D5047" s="29">
        <f t="shared" si="431"/>
        <v>32485</v>
      </c>
      <c r="E5047" s="4">
        <v>21</v>
      </c>
      <c r="F5047" s="129">
        <f t="shared" si="432"/>
        <v>378</v>
      </c>
    </row>
    <row r="5048" spans="1:6" x14ac:dyDescent="0.25">
      <c r="A5048" s="140" t="s">
        <v>37</v>
      </c>
      <c r="B5048" s="136">
        <v>44103</v>
      </c>
      <c r="C5048" s="4">
        <v>-12</v>
      </c>
      <c r="D5048" s="29">
        <f t="shared" si="431"/>
        <v>1073</v>
      </c>
      <c r="E5048" s="4">
        <v>-1</v>
      </c>
      <c r="F5048" s="129">
        <f>E5048+F5024</f>
        <v>22</v>
      </c>
    </row>
    <row r="5049" spans="1:6" x14ac:dyDescent="0.25">
      <c r="A5049" s="140" t="s">
        <v>38</v>
      </c>
      <c r="B5049" s="136">
        <v>44103</v>
      </c>
      <c r="C5049" s="4">
        <v>162</v>
      </c>
      <c r="D5049" s="29">
        <f t="shared" si="431"/>
        <v>7306</v>
      </c>
      <c r="E5049" s="4">
        <v>6</v>
      </c>
      <c r="F5049" s="129">
        <f>E5049+F5025</f>
        <v>138</v>
      </c>
    </row>
    <row r="5050" spans="1:6" x14ac:dyDescent="0.25">
      <c r="A5050" s="140" t="s">
        <v>48</v>
      </c>
      <c r="B5050" s="136">
        <v>44103</v>
      </c>
      <c r="C5050" s="4">
        <v>0</v>
      </c>
      <c r="D5050" s="29">
        <f t="shared" si="431"/>
        <v>104</v>
      </c>
      <c r="E5050" s="4">
        <v>0</v>
      </c>
      <c r="F5050" s="129">
        <f>E5050+F5026</f>
        <v>1</v>
      </c>
    </row>
    <row r="5051" spans="1:6" x14ac:dyDescent="0.25">
      <c r="A5051" s="140" t="s">
        <v>39</v>
      </c>
      <c r="B5051" s="136">
        <v>44103</v>
      </c>
      <c r="C5051" s="4">
        <v>102</v>
      </c>
      <c r="D5051" s="29">
        <f t="shared" si="431"/>
        <v>15513</v>
      </c>
      <c r="E5051" s="4">
        <v>4</v>
      </c>
      <c r="F5051" s="129">
        <f>E5051+F5027</f>
        <v>468</v>
      </c>
    </row>
    <row r="5052" spans="1:6" x14ac:dyDescent="0.25">
      <c r="A5052" s="140" t="s">
        <v>40</v>
      </c>
      <c r="B5052" s="136">
        <v>44103</v>
      </c>
      <c r="C5052" s="4">
        <v>19</v>
      </c>
      <c r="D5052" s="29">
        <f t="shared" si="431"/>
        <v>738</v>
      </c>
      <c r="E5052" s="4">
        <v>0</v>
      </c>
      <c r="F5052" s="129">
        <f t="shared" si="432"/>
        <v>7</v>
      </c>
    </row>
    <row r="5053" spans="1:6" x14ac:dyDescent="0.25">
      <c r="A5053" s="140" t="s">
        <v>28</v>
      </c>
      <c r="B5053" s="136">
        <v>44103</v>
      </c>
      <c r="C5053" s="4">
        <v>51</v>
      </c>
      <c r="D5053" s="29">
        <f t="shared" si="431"/>
        <v>4702</v>
      </c>
      <c r="E5053" s="4">
        <v>0</v>
      </c>
      <c r="F5053" s="129">
        <f t="shared" si="432"/>
        <v>101</v>
      </c>
    </row>
    <row r="5054" spans="1:6" x14ac:dyDescent="0.25">
      <c r="A5054" s="140" t="s">
        <v>24</v>
      </c>
      <c r="B5054" s="136">
        <v>44103</v>
      </c>
      <c r="C5054" s="4">
        <v>668</v>
      </c>
      <c r="D5054" s="29">
        <f t="shared" si="431"/>
        <v>24358</v>
      </c>
      <c r="E5054" s="4">
        <v>7</v>
      </c>
      <c r="F5054" s="129">
        <f t="shared" si="432"/>
        <v>253</v>
      </c>
    </row>
    <row r="5055" spans="1:6" x14ac:dyDescent="0.25">
      <c r="A5055" s="140" t="s">
        <v>30</v>
      </c>
      <c r="B5055" s="136">
        <v>44103</v>
      </c>
      <c r="C5055" s="4">
        <v>8</v>
      </c>
      <c r="D5055" s="29">
        <f t="shared" si="431"/>
        <v>87</v>
      </c>
      <c r="E5055" s="4">
        <v>0</v>
      </c>
      <c r="F5055" s="129">
        <f t="shared" si="432"/>
        <v>3</v>
      </c>
    </row>
    <row r="5056" spans="1:6" x14ac:dyDescent="0.25">
      <c r="A5056" s="140" t="s">
        <v>26</v>
      </c>
      <c r="B5056" s="136">
        <v>44103</v>
      </c>
      <c r="C5056" s="4">
        <v>77</v>
      </c>
      <c r="D5056" s="29">
        <f>C5056+D5032</f>
        <v>7701</v>
      </c>
      <c r="E5056" s="4">
        <v>2</v>
      </c>
      <c r="F5056" s="129">
        <f t="shared" si="432"/>
        <v>116</v>
      </c>
    </row>
    <row r="5057" spans="1:6" x14ac:dyDescent="0.25">
      <c r="A5057" s="140" t="s">
        <v>25</v>
      </c>
      <c r="B5057" s="136">
        <v>44103</v>
      </c>
      <c r="C5057" s="4">
        <v>339</v>
      </c>
      <c r="D5057" s="29">
        <f>C5057+D5033</f>
        <v>12470</v>
      </c>
      <c r="E5057" s="4">
        <v>8</v>
      </c>
      <c r="F5057" s="129">
        <f t="shared" si="432"/>
        <v>279</v>
      </c>
    </row>
    <row r="5058" spans="1:6" x14ac:dyDescent="0.25">
      <c r="A5058" s="140" t="s">
        <v>41</v>
      </c>
      <c r="B5058" s="136">
        <v>44103</v>
      </c>
      <c r="C5058" s="4">
        <v>324</v>
      </c>
      <c r="D5058" s="29">
        <f>C5058+D5034</f>
        <v>12055</v>
      </c>
      <c r="E5058" s="4">
        <v>11</v>
      </c>
      <c r="F5058" s="129">
        <f>E5058+F5034</f>
        <v>326</v>
      </c>
    </row>
    <row r="5059" spans="1:6" x14ac:dyDescent="0.25">
      <c r="A5059" s="140" t="s">
        <v>42</v>
      </c>
      <c r="B5059" s="136">
        <v>44103</v>
      </c>
      <c r="C5059" s="4">
        <v>20</v>
      </c>
      <c r="D5059" s="29">
        <f t="shared" ref="D5059:D5065" si="433">C5059+D5035</f>
        <v>715</v>
      </c>
      <c r="E5059" s="4">
        <v>4</v>
      </c>
      <c r="F5059" s="129">
        <f>E5059+F5035</f>
        <v>32</v>
      </c>
    </row>
    <row r="5060" spans="1:6" x14ac:dyDescent="0.25">
      <c r="A5060" s="140" t="s">
        <v>43</v>
      </c>
      <c r="B5060" s="136">
        <v>44103</v>
      </c>
      <c r="C5060" s="4">
        <v>150</v>
      </c>
      <c r="D5060" s="29">
        <f t="shared" si="433"/>
        <v>1341</v>
      </c>
      <c r="E5060" s="4">
        <v>0</v>
      </c>
      <c r="F5060" s="129">
        <f t="shared" si="432"/>
        <v>5</v>
      </c>
    </row>
    <row r="5061" spans="1:6" x14ac:dyDescent="0.25">
      <c r="A5061" s="140" t="s">
        <v>44</v>
      </c>
      <c r="B5061" s="136">
        <v>44103</v>
      </c>
      <c r="C5061" s="4">
        <v>113</v>
      </c>
      <c r="D5061" s="29">
        <f t="shared" si="433"/>
        <v>4699</v>
      </c>
      <c r="E5061" s="4">
        <v>3</v>
      </c>
      <c r="F5061" s="129">
        <f>E5061+F5037</f>
        <v>61</v>
      </c>
    </row>
    <row r="5062" spans="1:6" x14ac:dyDescent="0.25">
      <c r="A5062" s="140" t="s">
        <v>29</v>
      </c>
      <c r="B5062" s="136">
        <v>44103</v>
      </c>
      <c r="C5062" s="4">
        <v>2011</v>
      </c>
      <c r="D5062" s="29">
        <f t="shared" si="433"/>
        <v>40381</v>
      </c>
      <c r="E5062" s="4">
        <v>15</v>
      </c>
      <c r="F5062" s="129">
        <f>E5062+F5038</f>
        <v>436</v>
      </c>
    </row>
    <row r="5063" spans="1:6" x14ac:dyDescent="0.25">
      <c r="A5063" s="140" t="s">
        <v>45</v>
      </c>
      <c r="B5063" s="136">
        <v>44103</v>
      </c>
      <c r="C5063" s="4">
        <v>142</v>
      </c>
      <c r="D5063" s="29">
        <f t="shared" si="433"/>
        <v>3323</v>
      </c>
      <c r="E5063" s="4">
        <v>1</v>
      </c>
      <c r="F5063" s="129">
        <f t="shared" si="432"/>
        <v>58</v>
      </c>
    </row>
    <row r="5064" spans="1:6" x14ac:dyDescent="0.25">
      <c r="A5064" s="140" t="s">
        <v>46</v>
      </c>
      <c r="B5064" s="136">
        <v>44103</v>
      </c>
      <c r="C5064" s="4">
        <v>221</v>
      </c>
      <c r="D5064" s="29">
        <f t="shared" si="433"/>
        <v>4107</v>
      </c>
      <c r="E5064" s="4">
        <v>2</v>
      </c>
      <c r="F5064" s="129">
        <f>E5064+F5040</f>
        <v>67</v>
      </c>
    </row>
    <row r="5065" spans="1:6" ht="15.75" thickBot="1" x14ac:dyDescent="0.3">
      <c r="A5065" s="141" t="s">
        <v>47</v>
      </c>
      <c r="B5065" s="136">
        <v>44103</v>
      </c>
      <c r="C5065" s="4">
        <v>605</v>
      </c>
      <c r="D5065" s="132">
        <f t="shared" si="433"/>
        <v>14175</v>
      </c>
      <c r="E5065" s="4">
        <v>13</v>
      </c>
      <c r="F5065" s="130">
        <f>E5065+F5041</f>
        <v>132</v>
      </c>
    </row>
    <row r="5066" spans="1:6" x14ac:dyDescent="0.25">
      <c r="A5066" s="64" t="s">
        <v>22</v>
      </c>
      <c r="B5066" s="136">
        <v>44104</v>
      </c>
      <c r="C5066" s="4">
        <v>5943</v>
      </c>
      <c r="D5066" s="131">
        <f>C5066+D5042</f>
        <v>417677</v>
      </c>
      <c r="E5066" s="4">
        <f>92+84</f>
        <v>176</v>
      </c>
      <c r="F5066" s="128">
        <f>E5066+F5042</f>
        <v>10036</v>
      </c>
    </row>
    <row r="5067" spans="1:6" x14ac:dyDescent="0.25">
      <c r="A5067" s="140" t="s">
        <v>20</v>
      </c>
      <c r="B5067" s="136">
        <v>44104</v>
      </c>
      <c r="C5067" s="4">
        <v>898</v>
      </c>
      <c r="D5067" s="29">
        <f t="shared" ref="D5067:D5079" si="434">C5067+D5043</f>
        <v>125966</v>
      </c>
      <c r="E5067" s="4">
        <f>55+63</f>
        <v>118</v>
      </c>
      <c r="F5067" s="129">
        <f>E5067+F5043</f>
        <v>3354</v>
      </c>
    </row>
    <row r="5068" spans="1:6" x14ac:dyDescent="0.25">
      <c r="A5068" s="140" t="s">
        <v>35</v>
      </c>
      <c r="B5068" s="136">
        <v>44104</v>
      </c>
      <c r="C5068" s="4">
        <v>8</v>
      </c>
      <c r="D5068" s="29">
        <f t="shared" si="434"/>
        <v>287</v>
      </c>
      <c r="F5068" s="129">
        <f>E5068+F5044</f>
        <v>0</v>
      </c>
    </row>
    <row r="5069" spans="1:6" x14ac:dyDescent="0.25">
      <c r="A5069" s="140" t="s">
        <v>21</v>
      </c>
      <c r="B5069" s="136">
        <v>44104</v>
      </c>
      <c r="C5069" s="4">
        <v>157</v>
      </c>
      <c r="D5069" s="29">
        <f t="shared" si="434"/>
        <v>8543</v>
      </c>
      <c r="E5069" s="4">
        <f>2+2</f>
        <v>4</v>
      </c>
      <c r="F5069" s="129">
        <f t="shared" ref="F5069:F5087" si="435">E5069+F5045</f>
        <v>285</v>
      </c>
    </row>
    <row r="5070" spans="1:6" x14ac:dyDescent="0.25">
      <c r="A5070" s="140" t="s">
        <v>36</v>
      </c>
      <c r="B5070" s="136">
        <v>44104</v>
      </c>
      <c r="C5070" s="4">
        <v>156</v>
      </c>
      <c r="D5070" s="29">
        <f t="shared" si="434"/>
        <v>3955</v>
      </c>
      <c r="E5070" s="4">
        <f>3+3</f>
        <v>6</v>
      </c>
      <c r="F5070" s="129">
        <f t="shared" si="435"/>
        <v>50</v>
      </c>
    </row>
    <row r="5071" spans="1:6" x14ac:dyDescent="0.25">
      <c r="A5071" s="140" t="s">
        <v>27</v>
      </c>
      <c r="B5071" s="136">
        <v>44104</v>
      </c>
      <c r="C5071" s="4">
        <v>1718</v>
      </c>
      <c r="D5071" s="29">
        <f t="shared" si="434"/>
        <v>34203</v>
      </c>
      <c r="E5071" s="4">
        <f>8+11</f>
        <v>19</v>
      </c>
      <c r="F5071" s="129">
        <f t="shared" si="435"/>
        <v>397</v>
      </c>
    </row>
    <row r="5072" spans="1:6" x14ac:dyDescent="0.25">
      <c r="A5072" s="140" t="s">
        <v>37</v>
      </c>
      <c r="B5072" s="136">
        <v>44104</v>
      </c>
      <c r="C5072" s="4">
        <v>20</v>
      </c>
      <c r="D5072" s="29">
        <f t="shared" si="434"/>
        <v>1093</v>
      </c>
      <c r="F5072" s="129">
        <f>E5072+F5048</f>
        <v>22</v>
      </c>
    </row>
    <row r="5073" spans="1:6" x14ac:dyDescent="0.25">
      <c r="A5073" s="140" t="s">
        <v>38</v>
      </c>
      <c r="B5073" s="136">
        <v>44104</v>
      </c>
      <c r="C5073" s="4">
        <v>177</v>
      </c>
      <c r="D5073" s="29">
        <f t="shared" si="434"/>
        <v>7483</v>
      </c>
      <c r="E5073" s="4">
        <f>1+1</f>
        <v>2</v>
      </c>
      <c r="F5073" s="129">
        <f>E5073+F5049</f>
        <v>140</v>
      </c>
    </row>
    <row r="5074" spans="1:6" x14ac:dyDescent="0.25">
      <c r="A5074" s="140" t="s">
        <v>48</v>
      </c>
      <c r="B5074" s="136">
        <v>44104</v>
      </c>
      <c r="C5074" s="4">
        <v>0</v>
      </c>
      <c r="D5074" s="29">
        <f t="shared" si="434"/>
        <v>104</v>
      </c>
      <c r="F5074" s="129">
        <f>E5074+F5050</f>
        <v>1</v>
      </c>
    </row>
    <row r="5075" spans="1:6" x14ac:dyDescent="0.25">
      <c r="A5075" s="140" t="s">
        <v>39</v>
      </c>
      <c r="B5075" s="136">
        <v>44104</v>
      </c>
      <c r="C5075" s="4">
        <v>157</v>
      </c>
      <c r="D5075" s="29">
        <f t="shared" si="434"/>
        <v>15670</v>
      </c>
      <c r="E5075" s="4">
        <f>26+10</f>
        <v>36</v>
      </c>
      <c r="F5075" s="129">
        <f>E5075+F5051</f>
        <v>504</v>
      </c>
    </row>
    <row r="5076" spans="1:6" x14ac:dyDescent="0.25">
      <c r="A5076" s="140" t="s">
        <v>40</v>
      </c>
      <c r="B5076" s="136">
        <v>44104</v>
      </c>
      <c r="C5076" s="4">
        <v>25</v>
      </c>
      <c r="D5076" s="29">
        <f t="shared" si="434"/>
        <v>763</v>
      </c>
      <c r="F5076" s="129">
        <f t="shared" si="435"/>
        <v>7</v>
      </c>
    </row>
    <row r="5077" spans="1:6" x14ac:dyDescent="0.25">
      <c r="A5077" s="140" t="s">
        <v>28</v>
      </c>
      <c r="B5077" s="136">
        <v>44104</v>
      </c>
      <c r="C5077" s="4">
        <v>126</v>
      </c>
      <c r="D5077" s="29">
        <f t="shared" si="434"/>
        <v>4828</v>
      </c>
      <c r="F5077" s="129">
        <f t="shared" si="435"/>
        <v>101</v>
      </c>
    </row>
    <row r="5078" spans="1:6" x14ac:dyDescent="0.25">
      <c r="A5078" s="140" t="s">
        <v>24</v>
      </c>
      <c r="B5078" s="136">
        <v>44104</v>
      </c>
      <c r="C5078" s="4">
        <v>691</v>
      </c>
      <c r="D5078" s="29">
        <f t="shared" si="434"/>
        <v>25049</v>
      </c>
      <c r="E5078" s="4">
        <f>10+4</f>
        <v>14</v>
      </c>
      <c r="F5078" s="129">
        <f t="shared" si="435"/>
        <v>267</v>
      </c>
    </row>
    <row r="5079" spans="1:6" x14ac:dyDescent="0.25">
      <c r="A5079" s="140" t="s">
        <v>30</v>
      </c>
      <c r="B5079" s="136">
        <v>44104</v>
      </c>
      <c r="C5079" s="4">
        <v>9</v>
      </c>
      <c r="D5079" s="29">
        <f t="shared" si="434"/>
        <v>96</v>
      </c>
      <c r="F5079" s="129">
        <f t="shared" si="435"/>
        <v>3</v>
      </c>
    </row>
    <row r="5080" spans="1:6" x14ac:dyDescent="0.25">
      <c r="A5080" s="140" t="s">
        <v>26</v>
      </c>
      <c r="B5080" s="136">
        <v>44104</v>
      </c>
      <c r="C5080" s="4">
        <v>192</v>
      </c>
      <c r="D5080" s="29">
        <f>C5080+D5056</f>
        <v>7893</v>
      </c>
      <c r="E5080" s="4">
        <f>1</f>
        <v>1</v>
      </c>
      <c r="F5080" s="129">
        <f t="shared" si="435"/>
        <v>117</v>
      </c>
    </row>
    <row r="5081" spans="1:6" x14ac:dyDescent="0.25">
      <c r="A5081" s="140" t="s">
        <v>25</v>
      </c>
      <c r="B5081" s="136">
        <v>44104</v>
      </c>
      <c r="C5081" s="4">
        <v>369</v>
      </c>
      <c r="D5081" s="29">
        <f>C5081+D5057</f>
        <v>12839</v>
      </c>
      <c r="E5081" s="4">
        <f>5+6</f>
        <v>11</v>
      </c>
      <c r="F5081" s="129">
        <f t="shared" si="435"/>
        <v>290</v>
      </c>
    </row>
    <row r="5082" spans="1:6" x14ac:dyDescent="0.25">
      <c r="A5082" s="140" t="s">
        <v>41</v>
      </c>
      <c r="B5082" s="136">
        <v>44104</v>
      </c>
      <c r="C5082" s="4">
        <v>360</v>
      </c>
      <c r="D5082" s="29">
        <f>C5082+D5058</f>
        <v>12415</v>
      </c>
      <c r="E5082" s="4">
        <f>5+7</f>
        <v>12</v>
      </c>
      <c r="F5082" s="129">
        <f>E5082+F5058</f>
        <v>338</v>
      </c>
    </row>
    <row r="5083" spans="1:6" x14ac:dyDescent="0.25">
      <c r="A5083" s="140" t="s">
        <v>42</v>
      </c>
      <c r="B5083" s="136">
        <v>44104</v>
      </c>
      <c r="C5083" s="4">
        <v>2</v>
      </c>
      <c r="D5083" s="29">
        <f t="shared" ref="D5083:D5089" si="436">C5083+D5059</f>
        <v>717</v>
      </c>
      <c r="E5083" s="4">
        <f>1+2</f>
        <v>3</v>
      </c>
      <c r="F5083" s="129">
        <f>E5083+F5059</f>
        <v>35</v>
      </c>
    </row>
    <row r="5084" spans="1:6" x14ac:dyDescent="0.25">
      <c r="A5084" s="140" t="s">
        <v>43</v>
      </c>
      <c r="B5084" s="136">
        <v>44104</v>
      </c>
      <c r="C5084" s="4">
        <v>131</v>
      </c>
      <c r="D5084" s="29">
        <f t="shared" si="436"/>
        <v>1472</v>
      </c>
      <c r="E5084" s="4">
        <f>1</f>
        <v>1</v>
      </c>
      <c r="F5084" s="129">
        <f t="shared" si="435"/>
        <v>6</v>
      </c>
    </row>
    <row r="5085" spans="1:6" x14ac:dyDescent="0.25">
      <c r="A5085" s="140" t="s">
        <v>44</v>
      </c>
      <c r="B5085" s="136">
        <v>44104</v>
      </c>
      <c r="C5085" s="4">
        <v>145</v>
      </c>
      <c r="D5085" s="29">
        <f t="shared" si="436"/>
        <v>4844</v>
      </c>
      <c r="E5085" s="4">
        <f>1</f>
        <v>1</v>
      </c>
      <c r="F5085" s="129">
        <f>E5085+F5061</f>
        <v>62</v>
      </c>
    </row>
    <row r="5086" spans="1:6" x14ac:dyDescent="0.25">
      <c r="A5086" s="140" t="s">
        <v>29</v>
      </c>
      <c r="B5086" s="136">
        <v>44104</v>
      </c>
      <c r="C5086" s="4">
        <v>2017</v>
      </c>
      <c r="D5086" s="29">
        <f t="shared" si="436"/>
        <v>42398</v>
      </c>
      <c r="E5086" s="4">
        <f>5+5</f>
        <v>10</v>
      </c>
      <c r="F5086" s="129">
        <f>E5086+F5062</f>
        <v>446</v>
      </c>
    </row>
    <row r="5087" spans="1:6" x14ac:dyDescent="0.25">
      <c r="A5087" s="140" t="s">
        <v>45</v>
      </c>
      <c r="B5087" s="136">
        <v>44104</v>
      </c>
      <c r="C5087" s="4">
        <v>96</v>
      </c>
      <c r="D5087" s="29">
        <f t="shared" si="436"/>
        <v>3419</v>
      </c>
      <c r="E5087" s="4">
        <f>2+2</f>
        <v>4</v>
      </c>
      <c r="F5087" s="129">
        <f t="shared" si="435"/>
        <v>62</v>
      </c>
    </row>
    <row r="5088" spans="1:6" x14ac:dyDescent="0.25">
      <c r="A5088" s="140" t="s">
        <v>46</v>
      </c>
      <c r="B5088" s="136">
        <v>44104</v>
      </c>
      <c r="C5088" s="4">
        <v>256</v>
      </c>
      <c r="D5088" s="29">
        <f t="shared" si="436"/>
        <v>4363</v>
      </c>
      <c r="F5088" s="129">
        <f t="shared" ref="F5088:F5099" si="437">E5088+F5064</f>
        <v>67</v>
      </c>
    </row>
    <row r="5089" spans="1:6" ht="15.75" thickBot="1" x14ac:dyDescent="0.3">
      <c r="A5089" s="142" t="s">
        <v>47</v>
      </c>
      <c r="B5089" s="138">
        <v>44104</v>
      </c>
      <c r="C5089" s="47">
        <v>739</v>
      </c>
      <c r="D5089" s="85">
        <f t="shared" si="436"/>
        <v>14914</v>
      </c>
      <c r="E5089" s="47"/>
      <c r="F5089" s="139">
        <f t="shared" si="437"/>
        <v>132</v>
      </c>
    </row>
    <row r="5090" spans="1:6" x14ac:dyDescent="0.25">
      <c r="A5090" s="64" t="s">
        <v>22</v>
      </c>
      <c r="B5090" s="49">
        <v>44105</v>
      </c>
      <c r="C5090" s="50">
        <v>5407</v>
      </c>
      <c r="D5090" s="131">
        <f>C5090+D5066</f>
        <v>423084</v>
      </c>
      <c r="E5090" s="50">
        <v>3193</v>
      </c>
      <c r="F5090" s="128">
        <f t="shared" si="437"/>
        <v>13229</v>
      </c>
    </row>
    <row r="5091" spans="1:6" x14ac:dyDescent="0.25">
      <c r="A5091" s="140" t="s">
        <v>20</v>
      </c>
      <c r="B5091" s="136">
        <v>44105</v>
      </c>
      <c r="C5091" s="4">
        <v>924</v>
      </c>
      <c r="D5091" s="29">
        <f t="shared" ref="D5091:D5103" si="438">C5091+D5067</f>
        <v>126890</v>
      </c>
      <c r="E5091" s="4">
        <v>55</v>
      </c>
      <c r="F5091" s="129">
        <f t="shared" si="437"/>
        <v>3409</v>
      </c>
    </row>
    <row r="5092" spans="1:6" x14ac:dyDescent="0.25">
      <c r="A5092" s="140" t="s">
        <v>35</v>
      </c>
      <c r="B5092" s="136">
        <v>44105</v>
      </c>
      <c r="C5092" s="4">
        <v>5</v>
      </c>
      <c r="D5092" s="29">
        <f t="shared" si="438"/>
        <v>292</v>
      </c>
      <c r="E5092" s="4">
        <v>0</v>
      </c>
      <c r="F5092" s="129">
        <f t="shared" si="437"/>
        <v>0</v>
      </c>
    </row>
    <row r="5093" spans="1:6" x14ac:dyDescent="0.25">
      <c r="A5093" s="140" t="s">
        <v>21</v>
      </c>
      <c r="B5093" s="136">
        <v>44105</v>
      </c>
      <c r="C5093" s="4">
        <v>200</v>
      </c>
      <c r="D5093" s="29">
        <f t="shared" si="438"/>
        <v>8743</v>
      </c>
      <c r="E5093" s="4">
        <v>3</v>
      </c>
      <c r="F5093" s="129">
        <f t="shared" si="437"/>
        <v>288</v>
      </c>
    </row>
    <row r="5094" spans="1:6" x14ac:dyDescent="0.25">
      <c r="A5094" s="140" t="s">
        <v>36</v>
      </c>
      <c r="B5094" s="136">
        <v>44105</v>
      </c>
      <c r="C5094" s="4">
        <v>188</v>
      </c>
      <c r="D5094" s="29">
        <f t="shared" si="438"/>
        <v>4143</v>
      </c>
      <c r="E5094" s="4">
        <v>6</v>
      </c>
      <c r="F5094" s="129">
        <f t="shared" si="437"/>
        <v>56</v>
      </c>
    </row>
    <row r="5095" spans="1:6" x14ac:dyDescent="0.25">
      <c r="A5095" s="140" t="s">
        <v>27</v>
      </c>
      <c r="B5095" s="136">
        <v>44105</v>
      </c>
      <c r="C5095" s="4">
        <v>1966</v>
      </c>
      <c r="D5095" s="29">
        <f t="shared" si="438"/>
        <v>36169</v>
      </c>
      <c r="E5095" s="4">
        <v>17</v>
      </c>
      <c r="F5095" s="129">
        <f t="shared" si="437"/>
        <v>414</v>
      </c>
    </row>
    <row r="5096" spans="1:6" x14ac:dyDescent="0.25">
      <c r="A5096" s="140" t="s">
        <v>37</v>
      </c>
      <c r="B5096" s="136">
        <v>44105</v>
      </c>
      <c r="C5096" s="4">
        <v>7</v>
      </c>
      <c r="D5096" s="29">
        <f t="shared" si="438"/>
        <v>1100</v>
      </c>
      <c r="E5096" s="4">
        <v>0</v>
      </c>
      <c r="F5096" s="129">
        <f t="shared" si="437"/>
        <v>22</v>
      </c>
    </row>
    <row r="5097" spans="1:6" x14ac:dyDescent="0.25">
      <c r="A5097" s="140" t="s">
        <v>38</v>
      </c>
      <c r="B5097" s="136">
        <v>44105</v>
      </c>
      <c r="C5097" s="4">
        <v>186</v>
      </c>
      <c r="D5097" s="29">
        <f t="shared" si="438"/>
        <v>7669</v>
      </c>
      <c r="E5097" s="4">
        <v>0</v>
      </c>
      <c r="F5097" s="129">
        <f t="shared" si="437"/>
        <v>140</v>
      </c>
    </row>
    <row r="5098" spans="1:6" x14ac:dyDescent="0.25">
      <c r="A5098" s="140" t="s">
        <v>48</v>
      </c>
      <c r="B5098" s="136">
        <v>44105</v>
      </c>
      <c r="C5098" s="4">
        <v>0</v>
      </c>
      <c r="D5098" s="29">
        <f t="shared" si="438"/>
        <v>104</v>
      </c>
      <c r="E5098" s="4">
        <v>0</v>
      </c>
      <c r="F5098" s="129">
        <f t="shared" si="437"/>
        <v>1</v>
      </c>
    </row>
    <row r="5099" spans="1:6" x14ac:dyDescent="0.25">
      <c r="A5099" s="140" t="s">
        <v>39</v>
      </c>
      <c r="B5099" s="136">
        <v>44105</v>
      </c>
      <c r="C5099" s="4">
        <v>175</v>
      </c>
      <c r="D5099" s="29">
        <f t="shared" si="438"/>
        <v>15845</v>
      </c>
      <c r="E5099" s="4">
        <v>16</v>
      </c>
      <c r="F5099" s="129">
        <f t="shared" si="437"/>
        <v>520</v>
      </c>
    </row>
    <row r="5100" spans="1:6" x14ac:dyDescent="0.25">
      <c r="A5100" s="140" t="s">
        <v>40</v>
      </c>
      <c r="B5100" s="136">
        <v>44105</v>
      </c>
      <c r="C5100" s="4">
        <v>28</v>
      </c>
      <c r="D5100" s="29">
        <f t="shared" si="438"/>
        <v>791</v>
      </c>
      <c r="E5100" s="4">
        <v>0</v>
      </c>
      <c r="F5100" s="129">
        <f t="shared" ref="F5100:F5111" si="439">E5100+F5076</f>
        <v>7</v>
      </c>
    </row>
    <row r="5101" spans="1:6" x14ac:dyDescent="0.25">
      <c r="A5101" s="140" t="s">
        <v>28</v>
      </c>
      <c r="B5101" s="136">
        <v>44105</v>
      </c>
      <c r="C5101" s="4">
        <v>22</v>
      </c>
      <c r="D5101" s="29">
        <f t="shared" si="438"/>
        <v>4850</v>
      </c>
      <c r="E5101" s="4">
        <v>4</v>
      </c>
      <c r="F5101" s="129">
        <f t="shared" si="439"/>
        <v>105</v>
      </c>
    </row>
    <row r="5102" spans="1:6" x14ac:dyDescent="0.25">
      <c r="A5102" s="140" t="s">
        <v>24</v>
      </c>
      <c r="B5102" s="136">
        <v>44105</v>
      </c>
      <c r="C5102" s="4">
        <v>799</v>
      </c>
      <c r="D5102" s="29">
        <f t="shared" si="438"/>
        <v>25848</v>
      </c>
      <c r="E5102" s="4">
        <v>7</v>
      </c>
      <c r="F5102" s="129">
        <f t="shared" si="439"/>
        <v>274</v>
      </c>
    </row>
    <row r="5103" spans="1:6" x14ac:dyDescent="0.25">
      <c r="A5103" s="140" t="s">
        <v>30</v>
      </c>
      <c r="B5103" s="136">
        <v>44105</v>
      </c>
      <c r="C5103" s="4">
        <v>-2</v>
      </c>
      <c r="D5103" s="29">
        <f t="shared" si="438"/>
        <v>94</v>
      </c>
      <c r="E5103" s="4">
        <v>0</v>
      </c>
      <c r="F5103" s="129">
        <f t="shared" si="439"/>
        <v>3</v>
      </c>
    </row>
    <row r="5104" spans="1:6" x14ac:dyDescent="0.25">
      <c r="A5104" s="140" t="s">
        <v>26</v>
      </c>
      <c r="B5104" s="136">
        <v>44105</v>
      </c>
      <c r="C5104" s="4">
        <v>186</v>
      </c>
      <c r="D5104" s="29">
        <f>C5104+D5080</f>
        <v>8079</v>
      </c>
      <c r="E5104" s="4">
        <v>1</v>
      </c>
      <c r="F5104" s="129">
        <f t="shared" si="439"/>
        <v>118</v>
      </c>
    </row>
    <row r="5105" spans="1:6" x14ac:dyDescent="0.25">
      <c r="A5105" s="140" t="s">
        <v>25</v>
      </c>
      <c r="B5105" s="136">
        <v>44105</v>
      </c>
      <c r="C5105" s="4">
        <v>287</v>
      </c>
      <c r="D5105" s="29">
        <f>C5105+D5081</f>
        <v>13126</v>
      </c>
      <c r="E5105" s="4">
        <v>9</v>
      </c>
      <c r="F5105" s="129">
        <f t="shared" si="439"/>
        <v>299</v>
      </c>
    </row>
    <row r="5106" spans="1:6" x14ac:dyDescent="0.25">
      <c r="A5106" s="140" t="s">
        <v>41</v>
      </c>
      <c r="B5106" s="136">
        <v>44105</v>
      </c>
      <c r="C5106" s="4">
        <v>359</v>
      </c>
      <c r="D5106" s="29">
        <f>C5106+D5082</f>
        <v>12774</v>
      </c>
      <c r="E5106" s="4">
        <v>11</v>
      </c>
      <c r="F5106" s="129">
        <f>E5106+F5082</f>
        <v>349</v>
      </c>
    </row>
    <row r="5107" spans="1:6" x14ac:dyDescent="0.25">
      <c r="A5107" s="140" t="s">
        <v>42</v>
      </c>
      <c r="B5107" s="136">
        <v>44105</v>
      </c>
      <c r="C5107" s="4">
        <v>34</v>
      </c>
      <c r="D5107" s="29">
        <f t="shared" ref="D5107:D5113" si="440">C5107+D5083</f>
        <v>751</v>
      </c>
      <c r="E5107" s="4">
        <v>1</v>
      </c>
      <c r="F5107" s="129">
        <f>E5107+F5083</f>
        <v>36</v>
      </c>
    </row>
    <row r="5108" spans="1:6" x14ac:dyDescent="0.25">
      <c r="A5108" s="140" t="s">
        <v>43</v>
      </c>
      <c r="B5108" s="136">
        <v>44105</v>
      </c>
      <c r="C5108" s="4">
        <v>93</v>
      </c>
      <c r="D5108" s="29">
        <f t="shared" si="440"/>
        <v>1565</v>
      </c>
      <c r="E5108" s="4">
        <v>1</v>
      </c>
      <c r="F5108" s="129">
        <f t="shared" si="439"/>
        <v>7</v>
      </c>
    </row>
    <row r="5109" spans="1:6" x14ac:dyDescent="0.25">
      <c r="A5109" s="140" t="s">
        <v>44</v>
      </c>
      <c r="B5109" s="136">
        <v>44105</v>
      </c>
      <c r="C5109" s="4">
        <v>142</v>
      </c>
      <c r="D5109" s="29">
        <f t="shared" si="440"/>
        <v>4986</v>
      </c>
      <c r="E5109" s="4">
        <v>3</v>
      </c>
      <c r="F5109" s="129">
        <f>E5109+F5085</f>
        <v>65</v>
      </c>
    </row>
    <row r="5110" spans="1:6" x14ac:dyDescent="0.25">
      <c r="A5110" s="140" t="s">
        <v>29</v>
      </c>
      <c r="B5110" s="136">
        <v>44105</v>
      </c>
      <c r="C5110" s="4">
        <v>2073</v>
      </c>
      <c r="D5110" s="29">
        <f t="shared" si="440"/>
        <v>44471</v>
      </c>
      <c r="E5110" s="4">
        <v>21</v>
      </c>
      <c r="F5110" s="129">
        <f>E5110+F5086</f>
        <v>467</v>
      </c>
    </row>
    <row r="5111" spans="1:6" x14ac:dyDescent="0.25">
      <c r="A5111" s="140" t="s">
        <v>45</v>
      </c>
      <c r="B5111" s="136">
        <v>44105</v>
      </c>
      <c r="C5111" s="4">
        <v>126</v>
      </c>
      <c r="D5111" s="29">
        <f t="shared" si="440"/>
        <v>3545</v>
      </c>
      <c r="E5111" s="4">
        <v>0</v>
      </c>
      <c r="F5111" s="129">
        <f t="shared" si="439"/>
        <v>62</v>
      </c>
    </row>
    <row r="5112" spans="1:6" x14ac:dyDescent="0.25">
      <c r="A5112" s="140" t="s">
        <v>46</v>
      </c>
      <c r="B5112" s="136">
        <v>44105</v>
      </c>
      <c r="C5112" s="4">
        <v>164</v>
      </c>
      <c r="D5112" s="29">
        <f t="shared" si="440"/>
        <v>4527</v>
      </c>
      <c r="E5112" s="4">
        <v>0</v>
      </c>
      <c r="F5112" s="129">
        <f t="shared" ref="F5112:F5123" si="441">E5112+F5088</f>
        <v>67</v>
      </c>
    </row>
    <row r="5113" spans="1:6" ht="15.75" thickBot="1" x14ac:dyDescent="0.3">
      <c r="A5113" s="141" t="s">
        <v>47</v>
      </c>
      <c r="B5113" s="145">
        <v>44105</v>
      </c>
      <c r="C5113" s="54">
        <v>632</v>
      </c>
      <c r="D5113" s="132">
        <f t="shared" si="440"/>
        <v>15546</v>
      </c>
      <c r="E5113" s="54">
        <v>0</v>
      </c>
      <c r="F5113" s="130">
        <f t="shared" si="441"/>
        <v>132</v>
      </c>
    </row>
    <row r="5114" spans="1:6" ht="15.75" thickBot="1" x14ac:dyDescent="0.3">
      <c r="A5114" s="64" t="s">
        <v>22</v>
      </c>
      <c r="B5114" s="145">
        <v>44106</v>
      </c>
      <c r="C5114" s="48">
        <v>5695</v>
      </c>
      <c r="D5114" s="131">
        <f>C5114+D5090</f>
        <v>428779</v>
      </c>
      <c r="E5114" s="48">
        <v>149</v>
      </c>
      <c r="F5114" s="128">
        <f t="shared" si="441"/>
        <v>13378</v>
      </c>
    </row>
    <row r="5115" spans="1:6" ht="15.75" thickBot="1" x14ac:dyDescent="0.3">
      <c r="A5115" s="140" t="s">
        <v>20</v>
      </c>
      <c r="B5115" s="145">
        <v>44106</v>
      </c>
      <c r="C5115" s="4">
        <v>1050</v>
      </c>
      <c r="D5115" s="29">
        <f t="shared" ref="D5115:D5127" si="442">C5115+D5091</f>
        <v>127940</v>
      </c>
      <c r="E5115" s="4">
        <v>44</v>
      </c>
      <c r="F5115" s="129">
        <f t="shared" si="441"/>
        <v>3453</v>
      </c>
    </row>
    <row r="5116" spans="1:6" ht="15.75" thickBot="1" x14ac:dyDescent="0.3">
      <c r="A5116" s="140" t="s">
        <v>35</v>
      </c>
      <c r="B5116" s="145">
        <v>44106</v>
      </c>
      <c r="C5116" s="4">
        <v>7</v>
      </c>
      <c r="D5116" s="29">
        <f t="shared" si="442"/>
        <v>299</v>
      </c>
      <c r="F5116" s="129">
        <f t="shared" si="441"/>
        <v>0</v>
      </c>
    </row>
    <row r="5117" spans="1:6" ht="15.75" thickBot="1" x14ac:dyDescent="0.3">
      <c r="A5117" s="140" t="s">
        <v>21</v>
      </c>
      <c r="B5117" s="145">
        <v>44106</v>
      </c>
      <c r="C5117" s="4">
        <v>200</v>
      </c>
      <c r="D5117" s="29">
        <f t="shared" si="442"/>
        <v>8943</v>
      </c>
      <c r="E5117" s="4">
        <v>8</v>
      </c>
      <c r="F5117" s="129">
        <f t="shared" si="441"/>
        <v>296</v>
      </c>
    </row>
    <row r="5118" spans="1:6" ht="15.75" thickBot="1" x14ac:dyDescent="0.3">
      <c r="A5118" s="140" t="s">
        <v>36</v>
      </c>
      <c r="B5118" s="145">
        <v>44106</v>
      </c>
      <c r="C5118" s="4">
        <v>214</v>
      </c>
      <c r="D5118" s="29">
        <f t="shared" si="442"/>
        <v>4357</v>
      </c>
      <c r="E5118" s="4">
        <v>2</v>
      </c>
      <c r="F5118" s="129">
        <f t="shared" si="441"/>
        <v>58</v>
      </c>
    </row>
    <row r="5119" spans="1:6" ht="15.75" thickBot="1" x14ac:dyDescent="0.3">
      <c r="A5119" s="140" t="s">
        <v>27</v>
      </c>
      <c r="B5119" s="145">
        <v>44106</v>
      </c>
      <c r="C5119" s="4">
        <v>1776</v>
      </c>
      <c r="D5119" s="29">
        <f t="shared" si="442"/>
        <v>37945</v>
      </c>
      <c r="E5119" s="4">
        <v>14</v>
      </c>
      <c r="F5119" s="129">
        <f t="shared" si="441"/>
        <v>428</v>
      </c>
    </row>
    <row r="5120" spans="1:6" ht="15.75" thickBot="1" x14ac:dyDescent="0.3">
      <c r="A5120" s="140" t="s">
        <v>37</v>
      </c>
      <c r="B5120" s="145">
        <v>44106</v>
      </c>
      <c r="C5120" s="4">
        <v>67</v>
      </c>
      <c r="D5120" s="29">
        <f t="shared" si="442"/>
        <v>1167</v>
      </c>
      <c r="E5120" s="4">
        <v>4</v>
      </c>
      <c r="F5120" s="129">
        <f t="shared" si="441"/>
        <v>26</v>
      </c>
    </row>
    <row r="5121" spans="1:6" ht="15.75" thickBot="1" x14ac:dyDescent="0.3">
      <c r="A5121" s="140" t="s">
        <v>38</v>
      </c>
      <c r="B5121" s="145">
        <v>44106</v>
      </c>
      <c r="C5121" s="4">
        <v>173</v>
      </c>
      <c r="D5121" s="29">
        <f t="shared" si="442"/>
        <v>7842</v>
      </c>
      <c r="E5121" s="4">
        <v>2</v>
      </c>
      <c r="F5121" s="129">
        <f t="shared" si="441"/>
        <v>142</v>
      </c>
    </row>
    <row r="5122" spans="1:6" ht="15.75" thickBot="1" x14ac:dyDescent="0.3">
      <c r="A5122" s="140" t="s">
        <v>48</v>
      </c>
      <c r="B5122" s="145">
        <v>44106</v>
      </c>
      <c r="C5122" s="4">
        <v>2</v>
      </c>
      <c r="D5122" s="29">
        <f t="shared" si="442"/>
        <v>106</v>
      </c>
      <c r="F5122" s="129">
        <f t="shared" si="441"/>
        <v>1</v>
      </c>
    </row>
    <row r="5123" spans="1:6" ht="15.75" thickBot="1" x14ac:dyDescent="0.3">
      <c r="A5123" s="140" t="s">
        <v>39</v>
      </c>
      <c r="B5123" s="145">
        <v>44106</v>
      </c>
      <c r="C5123" s="4">
        <v>116</v>
      </c>
      <c r="D5123" s="29">
        <f t="shared" si="442"/>
        <v>15961</v>
      </c>
      <c r="E5123" s="4">
        <v>9</v>
      </c>
      <c r="F5123" s="129">
        <f t="shared" si="441"/>
        <v>529</v>
      </c>
    </row>
    <row r="5124" spans="1:6" ht="15.75" thickBot="1" x14ac:dyDescent="0.3">
      <c r="A5124" s="140" t="s">
        <v>40</v>
      </c>
      <c r="B5124" s="145">
        <v>44106</v>
      </c>
      <c r="C5124" s="4">
        <v>13</v>
      </c>
      <c r="D5124" s="29">
        <f t="shared" si="442"/>
        <v>804</v>
      </c>
      <c r="E5124" s="4">
        <v>2</v>
      </c>
      <c r="F5124" s="129">
        <f t="shared" ref="F5124:F5135" si="443">E5124+F5100</f>
        <v>9</v>
      </c>
    </row>
    <row r="5125" spans="1:6" ht="15.75" thickBot="1" x14ac:dyDescent="0.3">
      <c r="A5125" s="140" t="s">
        <v>28</v>
      </c>
      <c r="B5125" s="145">
        <v>44106</v>
      </c>
      <c r="C5125" s="4">
        <v>142</v>
      </c>
      <c r="D5125" s="29">
        <f t="shared" si="442"/>
        <v>4992</v>
      </c>
      <c r="F5125" s="129">
        <f t="shared" si="443"/>
        <v>105</v>
      </c>
    </row>
    <row r="5126" spans="1:6" ht="15.75" thickBot="1" x14ac:dyDescent="0.3">
      <c r="A5126" s="140" t="s">
        <v>24</v>
      </c>
      <c r="B5126" s="145">
        <v>44106</v>
      </c>
      <c r="C5126" s="4">
        <v>759</v>
      </c>
      <c r="D5126" s="29">
        <f t="shared" si="442"/>
        <v>26607</v>
      </c>
      <c r="E5126" s="4">
        <v>14</v>
      </c>
      <c r="F5126" s="129">
        <f t="shared" si="443"/>
        <v>288</v>
      </c>
    </row>
    <row r="5127" spans="1:6" ht="15.75" thickBot="1" x14ac:dyDescent="0.3">
      <c r="A5127" s="140" t="s">
        <v>30</v>
      </c>
      <c r="B5127" s="145">
        <v>44106</v>
      </c>
      <c r="C5127" s="4">
        <v>5</v>
      </c>
      <c r="D5127" s="29">
        <f t="shared" si="442"/>
        <v>99</v>
      </c>
      <c r="E5127" s="4">
        <v>1</v>
      </c>
      <c r="F5127" s="129">
        <f t="shared" si="443"/>
        <v>4</v>
      </c>
    </row>
    <row r="5128" spans="1:6" ht="15.75" thickBot="1" x14ac:dyDescent="0.3">
      <c r="A5128" s="140" t="s">
        <v>26</v>
      </c>
      <c r="B5128" s="145">
        <v>44106</v>
      </c>
      <c r="C5128" s="4">
        <v>270</v>
      </c>
      <c r="D5128" s="29">
        <f>C5128+D5104</f>
        <v>8349</v>
      </c>
      <c r="E5128" s="4">
        <v>2</v>
      </c>
      <c r="F5128" s="129">
        <f t="shared" si="443"/>
        <v>120</v>
      </c>
    </row>
    <row r="5129" spans="1:6" ht="15.75" thickBot="1" x14ac:dyDescent="0.3">
      <c r="A5129" s="140" t="s">
        <v>25</v>
      </c>
      <c r="B5129" s="145">
        <v>44106</v>
      </c>
      <c r="C5129" s="4">
        <v>371</v>
      </c>
      <c r="D5129" s="29">
        <f>C5129+D5105</f>
        <v>13497</v>
      </c>
      <c r="E5129" s="4">
        <v>4</v>
      </c>
      <c r="F5129" s="129">
        <f t="shared" si="443"/>
        <v>303</v>
      </c>
    </row>
    <row r="5130" spans="1:6" ht="15.75" thickBot="1" x14ac:dyDescent="0.3">
      <c r="A5130" s="140" t="s">
        <v>41</v>
      </c>
      <c r="B5130" s="145">
        <v>44106</v>
      </c>
      <c r="C5130" s="4">
        <v>327</v>
      </c>
      <c r="D5130" s="29">
        <f>C5130+D5106</f>
        <v>13101</v>
      </c>
      <c r="E5130" s="4">
        <v>14</v>
      </c>
      <c r="F5130" s="129">
        <f>E5130+F5106</f>
        <v>363</v>
      </c>
    </row>
    <row r="5131" spans="1:6" ht="15.75" thickBot="1" x14ac:dyDescent="0.3">
      <c r="A5131" s="140" t="s">
        <v>42</v>
      </c>
      <c r="B5131" s="145">
        <v>44106</v>
      </c>
      <c r="C5131" s="4">
        <v>3</v>
      </c>
      <c r="D5131" s="29">
        <f t="shared" ref="D5131:D5137" si="444">C5131+D5107</f>
        <v>754</v>
      </c>
      <c r="E5131" s="4">
        <v>4</v>
      </c>
      <c r="F5131" s="129">
        <f>E5131+F5107</f>
        <v>40</v>
      </c>
    </row>
    <row r="5132" spans="1:6" ht="15.75" thickBot="1" x14ac:dyDescent="0.3">
      <c r="A5132" s="140" t="s">
        <v>43</v>
      </c>
      <c r="B5132" s="145">
        <v>44106</v>
      </c>
      <c r="C5132" s="4">
        <v>73</v>
      </c>
      <c r="D5132" s="29">
        <f t="shared" si="444"/>
        <v>1638</v>
      </c>
      <c r="F5132" s="129">
        <f t="shared" si="443"/>
        <v>7</v>
      </c>
    </row>
    <row r="5133" spans="1:6" ht="15.75" thickBot="1" x14ac:dyDescent="0.3">
      <c r="A5133" s="140" t="s">
        <v>44</v>
      </c>
      <c r="B5133" s="145">
        <v>44106</v>
      </c>
      <c r="C5133" s="4">
        <v>137</v>
      </c>
      <c r="D5133" s="29">
        <f t="shared" si="444"/>
        <v>5123</v>
      </c>
      <c r="E5133" s="4">
        <v>2</v>
      </c>
      <c r="F5133" s="129">
        <f>E5133+F5109</f>
        <v>67</v>
      </c>
    </row>
    <row r="5134" spans="1:6" ht="15.75" thickBot="1" x14ac:dyDescent="0.3">
      <c r="A5134" s="140" t="s">
        <v>29</v>
      </c>
      <c r="B5134" s="145">
        <v>44106</v>
      </c>
      <c r="C5134" s="4">
        <v>2244</v>
      </c>
      <c r="D5134" s="29">
        <f t="shared" si="444"/>
        <v>46715</v>
      </c>
      <c r="E5134" s="4">
        <v>24</v>
      </c>
      <c r="F5134" s="129">
        <f>E5134+F5110</f>
        <v>491</v>
      </c>
    </row>
    <row r="5135" spans="1:6" ht="15.75" thickBot="1" x14ac:dyDescent="0.3">
      <c r="A5135" s="140" t="s">
        <v>45</v>
      </c>
      <c r="B5135" s="145">
        <v>44106</v>
      </c>
      <c r="C5135" s="4">
        <v>176</v>
      </c>
      <c r="D5135" s="29">
        <f t="shared" si="444"/>
        <v>3721</v>
      </c>
      <c r="E5135" s="4">
        <v>2</v>
      </c>
      <c r="F5135" s="129">
        <f t="shared" si="443"/>
        <v>64</v>
      </c>
    </row>
    <row r="5136" spans="1:6" ht="15.75" thickBot="1" x14ac:dyDescent="0.3">
      <c r="A5136" s="140" t="s">
        <v>46</v>
      </c>
      <c r="B5136" s="145">
        <v>44106</v>
      </c>
      <c r="C5136" s="4">
        <v>193</v>
      </c>
      <c r="D5136" s="29">
        <f t="shared" si="444"/>
        <v>4720</v>
      </c>
      <c r="E5136" s="4">
        <v>3</v>
      </c>
      <c r="F5136" s="129">
        <f t="shared" ref="F5136:F5147" si="445">E5136+F5112</f>
        <v>70</v>
      </c>
    </row>
    <row r="5137" spans="1:6" ht="15.75" thickBot="1" x14ac:dyDescent="0.3">
      <c r="A5137" s="141" t="s">
        <v>47</v>
      </c>
      <c r="B5137" s="145">
        <v>44106</v>
      </c>
      <c r="C5137" s="4">
        <v>674</v>
      </c>
      <c r="D5137" s="132">
        <f t="shared" si="444"/>
        <v>16220</v>
      </c>
      <c r="E5137" s="4">
        <v>8</v>
      </c>
      <c r="F5137" s="130">
        <f t="shared" si="445"/>
        <v>140</v>
      </c>
    </row>
    <row r="5138" spans="1:6" ht="15.75" thickBot="1" x14ac:dyDescent="0.3">
      <c r="A5138" s="64" t="s">
        <v>22</v>
      </c>
      <c r="B5138" s="145">
        <v>44107</v>
      </c>
      <c r="C5138" s="4">
        <v>4507</v>
      </c>
      <c r="D5138" s="131">
        <f>C5138+D5114</f>
        <v>433286</v>
      </c>
      <c r="E5138" s="4">
        <f>56+34</f>
        <v>90</v>
      </c>
      <c r="F5138" s="128">
        <f t="shared" si="445"/>
        <v>13468</v>
      </c>
    </row>
    <row r="5139" spans="1:6" ht="15.75" thickBot="1" x14ac:dyDescent="0.3">
      <c r="A5139" s="140" t="s">
        <v>20</v>
      </c>
      <c r="B5139" s="145">
        <v>44107</v>
      </c>
      <c r="C5139" s="4">
        <v>801</v>
      </c>
      <c r="D5139" s="29">
        <f t="shared" ref="D5139:D5151" si="446">C5139+D5115</f>
        <v>128741</v>
      </c>
      <c r="E5139" s="4">
        <f>8+12</f>
        <v>20</v>
      </c>
      <c r="F5139" s="129">
        <f t="shared" si="445"/>
        <v>3473</v>
      </c>
    </row>
    <row r="5140" spans="1:6" ht="15.75" thickBot="1" x14ac:dyDescent="0.3">
      <c r="A5140" s="140" t="s">
        <v>35</v>
      </c>
      <c r="B5140" s="145">
        <v>44107</v>
      </c>
      <c r="C5140" s="4">
        <v>6</v>
      </c>
      <c r="D5140" s="29">
        <f t="shared" si="446"/>
        <v>305</v>
      </c>
      <c r="F5140" s="129">
        <f t="shared" si="445"/>
        <v>0</v>
      </c>
    </row>
    <row r="5141" spans="1:6" ht="15.75" thickBot="1" x14ac:dyDescent="0.3">
      <c r="A5141" s="140" t="s">
        <v>21</v>
      </c>
      <c r="B5141" s="145">
        <v>44107</v>
      </c>
      <c r="C5141" s="4">
        <v>120</v>
      </c>
      <c r="D5141" s="29">
        <f t="shared" si="446"/>
        <v>9063</v>
      </c>
      <c r="E5141" s="4">
        <f>1</f>
        <v>1</v>
      </c>
      <c r="F5141" s="129">
        <f t="shared" si="445"/>
        <v>297</v>
      </c>
    </row>
    <row r="5142" spans="1:6" ht="15.75" thickBot="1" x14ac:dyDescent="0.3">
      <c r="A5142" s="140" t="s">
        <v>36</v>
      </c>
      <c r="B5142" s="145">
        <v>44107</v>
      </c>
      <c r="C5142" s="4">
        <v>149</v>
      </c>
      <c r="D5142" s="29">
        <f t="shared" si="446"/>
        <v>4506</v>
      </c>
      <c r="F5142" s="129">
        <f t="shared" si="445"/>
        <v>58</v>
      </c>
    </row>
    <row r="5143" spans="1:6" ht="15.75" thickBot="1" x14ac:dyDescent="0.3">
      <c r="A5143" s="140" t="s">
        <v>27</v>
      </c>
      <c r="B5143" s="145">
        <v>44107</v>
      </c>
      <c r="C5143" s="4">
        <v>1451</v>
      </c>
      <c r="D5143" s="29">
        <f t="shared" si="446"/>
        <v>39396</v>
      </c>
      <c r="E5143" s="4">
        <f>12+7</f>
        <v>19</v>
      </c>
      <c r="F5143" s="129">
        <f t="shared" si="445"/>
        <v>447</v>
      </c>
    </row>
    <row r="5144" spans="1:6" ht="15.75" thickBot="1" x14ac:dyDescent="0.3">
      <c r="A5144" s="140" t="s">
        <v>37</v>
      </c>
      <c r="B5144" s="145">
        <v>44107</v>
      </c>
      <c r="C5144" s="4">
        <v>3</v>
      </c>
      <c r="D5144" s="29">
        <f t="shared" si="446"/>
        <v>1170</v>
      </c>
      <c r="E5144" s="4">
        <f>1</f>
        <v>1</v>
      </c>
      <c r="F5144" s="129">
        <f t="shared" si="445"/>
        <v>27</v>
      </c>
    </row>
    <row r="5145" spans="1:6" ht="15.75" thickBot="1" x14ac:dyDescent="0.3">
      <c r="A5145" s="140" t="s">
        <v>38</v>
      </c>
      <c r="B5145" s="145">
        <v>44107</v>
      </c>
      <c r="C5145" s="4">
        <v>152</v>
      </c>
      <c r="D5145" s="29">
        <f t="shared" si="446"/>
        <v>7994</v>
      </c>
      <c r="E5145" s="4">
        <f>1</f>
        <v>1</v>
      </c>
      <c r="F5145" s="129">
        <f t="shared" si="445"/>
        <v>143</v>
      </c>
    </row>
    <row r="5146" spans="1:6" ht="15.75" thickBot="1" x14ac:dyDescent="0.3">
      <c r="A5146" s="140" t="s">
        <v>48</v>
      </c>
      <c r="B5146" s="145">
        <v>44107</v>
      </c>
      <c r="C5146" s="4">
        <v>-1</v>
      </c>
      <c r="D5146" s="29">
        <f t="shared" si="446"/>
        <v>105</v>
      </c>
      <c r="F5146" s="129">
        <f t="shared" si="445"/>
        <v>1</v>
      </c>
    </row>
    <row r="5147" spans="1:6" ht="15.75" thickBot="1" x14ac:dyDescent="0.3">
      <c r="A5147" s="140" t="s">
        <v>39</v>
      </c>
      <c r="B5147" s="145">
        <v>44107</v>
      </c>
      <c r="C5147" s="4">
        <v>122</v>
      </c>
      <c r="D5147" s="29">
        <f t="shared" si="446"/>
        <v>16083</v>
      </c>
      <c r="E5147" s="4">
        <f>8+2</f>
        <v>10</v>
      </c>
      <c r="F5147" s="129">
        <f t="shared" si="445"/>
        <v>539</v>
      </c>
    </row>
    <row r="5148" spans="1:6" ht="15.75" thickBot="1" x14ac:dyDescent="0.3">
      <c r="A5148" s="140" t="s">
        <v>40</v>
      </c>
      <c r="B5148" s="145">
        <v>44107</v>
      </c>
      <c r="C5148" s="4">
        <v>27</v>
      </c>
      <c r="D5148" s="29">
        <f t="shared" si="446"/>
        <v>831</v>
      </c>
      <c r="F5148" s="129">
        <f t="shared" ref="F5148:F5159" si="447">E5148+F5124</f>
        <v>9</v>
      </c>
    </row>
    <row r="5149" spans="1:6" ht="15.75" thickBot="1" x14ac:dyDescent="0.3">
      <c r="A5149" s="140" t="s">
        <v>28</v>
      </c>
      <c r="B5149" s="145">
        <v>44107</v>
      </c>
      <c r="C5149" s="4">
        <v>62</v>
      </c>
      <c r="D5149" s="29">
        <f t="shared" si="446"/>
        <v>5054</v>
      </c>
      <c r="F5149" s="129">
        <f t="shared" si="447"/>
        <v>105</v>
      </c>
    </row>
    <row r="5150" spans="1:6" ht="15.75" thickBot="1" x14ac:dyDescent="0.3">
      <c r="A5150" s="140" t="s">
        <v>24</v>
      </c>
      <c r="B5150" s="145">
        <v>44107</v>
      </c>
      <c r="C5150" s="4">
        <v>517</v>
      </c>
      <c r="D5150" s="29">
        <f t="shared" si="446"/>
        <v>27124</v>
      </c>
      <c r="E5150" s="4">
        <f>12+4</f>
        <v>16</v>
      </c>
      <c r="F5150" s="129">
        <f t="shared" si="447"/>
        <v>304</v>
      </c>
    </row>
    <row r="5151" spans="1:6" ht="15.75" thickBot="1" x14ac:dyDescent="0.3">
      <c r="A5151" s="140" t="s">
        <v>30</v>
      </c>
      <c r="B5151" s="145">
        <v>44107</v>
      </c>
      <c r="C5151" s="4">
        <v>5</v>
      </c>
      <c r="D5151" s="29">
        <f t="shared" si="446"/>
        <v>104</v>
      </c>
      <c r="F5151" s="129">
        <f t="shared" si="447"/>
        <v>4</v>
      </c>
    </row>
    <row r="5152" spans="1:6" ht="15.75" thickBot="1" x14ac:dyDescent="0.3">
      <c r="A5152" s="140" t="s">
        <v>26</v>
      </c>
      <c r="B5152" s="145">
        <v>44107</v>
      </c>
      <c r="C5152" s="4">
        <v>264</v>
      </c>
      <c r="D5152" s="29">
        <f>C5152+D5128</f>
        <v>8613</v>
      </c>
      <c r="E5152" s="4">
        <f>1</f>
        <v>1</v>
      </c>
      <c r="F5152" s="129">
        <f t="shared" si="447"/>
        <v>121</v>
      </c>
    </row>
    <row r="5153" spans="1:6" ht="15.75" thickBot="1" x14ac:dyDescent="0.3">
      <c r="A5153" s="140" t="s">
        <v>25</v>
      </c>
      <c r="B5153" s="145">
        <v>44107</v>
      </c>
      <c r="C5153" s="4">
        <v>330</v>
      </c>
      <c r="D5153" s="29">
        <f>C5153+D5129</f>
        <v>13827</v>
      </c>
      <c r="E5153" s="4">
        <f>2+2</f>
        <v>4</v>
      </c>
      <c r="F5153" s="129">
        <f t="shared" si="447"/>
        <v>307</v>
      </c>
    </row>
    <row r="5154" spans="1:6" ht="15.75" thickBot="1" x14ac:dyDescent="0.3">
      <c r="A5154" s="140" t="s">
        <v>41</v>
      </c>
      <c r="B5154" s="145">
        <v>44107</v>
      </c>
      <c r="C5154" s="4">
        <v>134</v>
      </c>
      <c r="D5154" s="29">
        <f>C5154+D5130</f>
        <v>13235</v>
      </c>
      <c r="E5154" s="4">
        <f>2+1</f>
        <v>3</v>
      </c>
      <c r="F5154" s="129">
        <f>E5154+F5130</f>
        <v>366</v>
      </c>
    </row>
    <row r="5155" spans="1:6" ht="15.75" thickBot="1" x14ac:dyDescent="0.3">
      <c r="A5155" s="140" t="s">
        <v>42</v>
      </c>
      <c r="B5155" s="145">
        <v>44107</v>
      </c>
      <c r="C5155" s="4">
        <v>75</v>
      </c>
      <c r="D5155" s="29">
        <f t="shared" ref="D5155:D5161" si="448">C5155+D5131</f>
        <v>829</v>
      </c>
      <c r="F5155" s="129">
        <f>E5155+F5131</f>
        <v>40</v>
      </c>
    </row>
    <row r="5156" spans="1:6" ht="15.75" thickBot="1" x14ac:dyDescent="0.3">
      <c r="A5156" s="140" t="s">
        <v>43</v>
      </c>
      <c r="B5156" s="145">
        <v>44107</v>
      </c>
      <c r="C5156" s="4">
        <v>11</v>
      </c>
      <c r="D5156" s="29">
        <f t="shared" si="448"/>
        <v>1649</v>
      </c>
      <c r="E5156" s="4">
        <f>7+5</f>
        <v>12</v>
      </c>
      <c r="F5156" s="129">
        <f t="shared" si="447"/>
        <v>19</v>
      </c>
    </row>
    <row r="5157" spans="1:6" ht="15.75" thickBot="1" x14ac:dyDescent="0.3">
      <c r="A5157" s="140" t="s">
        <v>44</v>
      </c>
      <c r="B5157" s="145">
        <v>44107</v>
      </c>
      <c r="C5157" s="4">
        <v>221</v>
      </c>
      <c r="D5157" s="29">
        <f t="shared" si="448"/>
        <v>5344</v>
      </c>
      <c r="F5157" s="129">
        <f>E5157+F5133</f>
        <v>67</v>
      </c>
    </row>
    <row r="5158" spans="1:6" ht="15.75" thickBot="1" x14ac:dyDescent="0.3">
      <c r="A5158" s="140" t="s">
        <v>29</v>
      </c>
      <c r="B5158" s="145">
        <v>44107</v>
      </c>
      <c r="C5158" s="4">
        <v>1450</v>
      </c>
      <c r="D5158" s="29">
        <f t="shared" si="448"/>
        <v>48165</v>
      </c>
      <c r="E5158" s="4">
        <f>7+8</f>
        <v>15</v>
      </c>
      <c r="F5158" s="129">
        <f>E5158+F5134</f>
        <v>506</v>
      </c>
    </row>
    <row r="5159" spans="1:6" ht="15.75" thickBot="1" x14ac:dyDescent="0.3">
      <c r="A5159" s="140" t="s">
        <v>45</v>
      </c>
      <c r="B5159" s="145">
        <v>44107</v>
      </c>
      <c r="C5159" s="4">
        <v>123</v>
      </c>
      <c r="D5159" s="29">
        <f t="shared" si="448"/>
        <v>3844</v>
      </c>
      <c r="E5159" s="4">
        <f>1</f>
        <v>1</v>
      </c>
      <c r="F5159" s="129">
        <f t="shared" si="447"/>
        <v>65</v>
      </c>
    </row>
    <row r="5160" spans="1:6" ht="15.75" thickBot="1" x14ac:dyDescent="0.3">
      <c r="A5160" s="140" t="s">
        <v>46</v>
      </c>
      <c r="B5160" s="145">
        <v>44107</v>
      </c>
      <c r="C5160" s="4">
        <v>188</v>
      </c>
      <c r="D5160" s="29">
        <f t="shared" si="448"/>
        <v>4908</v>
      </c>
      <c r="E5160" s="4">
        <f>1</f>
        <v>1</v>
      </c>
      <c r="F5160" s="129">
        <f t="shared" ref="F5160:F5171" si="449">E5160+F5136</f>
        <v>71</v>
      </c>
    </row>
    <row r="5161" spans="1:6" ht="15.75" thickBot="1" x14ac:dyDescent="0.3">
      <c r="A5161" s="141" t="s">
        <v>47</v>
      </c>
      <c r="B5161" s="145">
        <v>44107</v>
      </c>
      <c r="C5161" s="4">
        <v>412</v>
      </c>
      <c r="D5161" s="132">
        <f t="shared" si="448"/>
        <v>16632</v>
      </c>
      <c r="F5161" s="130">
        <f t="shared" si="449"/>
        <v>140</v>
      </c>
    </row>
    <row r="5162" spans="1:6" ht="15.75" thickBot="1" x14ac:dyDescent="0.3">
      <c r="A5162" s="64" t="s">
        <v>22</v>
      </c>
      <c r="B5162" s="145">
        <v>44108</v>
      </c>
      <c r="C5162" s="4">
        <v>2648</v>
      </c>
      <c r="D5162" s="131">
        <f>C5162+D5138</f>
        <v>435934</v>
      </c>
      <c r="E5162" s="4">
        <v>59</v>
      </c>
      <c r="F5162" s="128">
        <f t="shared" si="449"/>
        <v>13527</v>
      </c>
    </row>
    <row r="5163" spans="1:6" ht="15.75" thickBot="1" x14ac:dyDescent="0.3">
      <c r="A5163" s="140" t="s">
        <v>20</v>
      </c>
      <c r="B5163" s="145">
        <v>44108</v>
      </c>
      <c r="C5163" s="4">
        <v>533</v>
      </c>
      <c r="D5163" s="29">
        <f t="shared" ref="D5163:D5175" si="450">C5163+D5139</f>
        <v>129274</v>
      </c>
      <c r="E5163" s="4">
        <f>30+27</f>
        <v>57</v>
      </c>
      <c r="F5163" s="129">
        <f t="shared" si="449"/>
        <v>3530</v>
      </c>
    </row>
    <row r="5164" spans="1:6" ht="15.75" thickBot="1" x14ac:dyDescent="0.3">
      <c r="A5164" s="140" t="s">
        <v>35</v>
      </c>
      <c r="B5164" s="145">
        <v>44108</v>
      </c>
      <c r="C5164" s="4">
        <v>13</v>
      </c>
      <c r="D5164" s="29">
        <f t="shared" si="450"/>
        <v>318</v>
      </c>
      <c r="F5164" s="129">
        <f t="shared" si="449"/>
        <v>0</v>
      </c>
    </row>
    <row r="5165" spans="1:6" ht="15.75" thickBot="1" x14ac:dyDescent="0.3">
      <c r="A5165" s="140" t="s">
        <v>21</v>
      </c>
      <c r="B5165" s="145">
        <v>44108</v>
      </c>
      <c r="C5165" s="4">
        <v>177</v>
      </c>
      <c r="D5165" s="29">
        <f t="shared" si="450"/>
        <v>9240</v>
      </c>
      <c r="E5165" s="4">
        <f>2</f>
        <v>2</v>
      </c>
      <c r="F5165" s="129">
        <f t="shared" si="449"/>
        <v>299</v>
      </c>
    </row>
    <row r="5166" spans="1:6" ht="15.75" thickBot="1" x14ac:dyDescent="0.3">
      <c r="A5166" s="140" t="s">
        <v>36</v>
      </c>
      <c r="B5166" s="145">
        <v>44108</v>
      </c>
      <c r="C5166" s="4">
        <v>181</v>
      </c>
      <c r="D5166" s="29">
        <f t="shared" si="450"/>
        <v>4687</v>
      </c>
      <c r="F5166" s="129">
        <f t="shared" si="449"/>
        <v>58</v>
      </c>
    </row>
    <row r="5167" spans="1:6" ht="15.75" thickBot="1" x14ac:dyDescent="0.3">
      <c r="A5167" s="140" t="s">
        <v>27</v>
      </c>
      <c r="B5167" s="145">
        <v>44108</v>
      </c>
      <c r="C5167" s="4">
        <v>1154</v>
      </c>
      <c r="D5167" s="29">
        <f t="shared" si="450"/>
        <v>40550</v>
      </c>
      <c r="E5167" s="4">
        <f>9+16</f>
        <v>25</v>
      </c>
      <c r="F5167" s="129">
        <f t="shared" si="449"/>
        <v>472</v>
      </c>
    </row>
    <row r="5168" spans="1:6" ht="15.75" thickBot="1" x14ac:dyDescent="0.3">
      <c r="A5168" s="140" t="s">
        <v>37</v>
      </c>
      <c r="B5168" s="145">
        <v>44108</v>
      </c>
      <c r="C5168" s="4">
        <v>4</v>
      </c>
      <c r="D5168" s="29">
        <f t="shared" si="450"/>
        <v>1174</v>
      </c>
      <c r="F5168" s="129">
        <f t="shared" si="449"/>
        <v>27</v>
      </c>
    </row>
    <row r="5169" spans="1:6" ht="15.75" thickBot="1" x14ac:dyDescent="0.3">
      <c r="A5169" s="140" t="s">
        <v>38</v>
      </c>
      <c r="B5169" s="145">
        <v>44108</v>
      </c>
      <c r="C5169" s="4">
        <v>125</v>
      </c>
      <c r="D5169" s="29">
        <f t="shared" si="450"/>
        <v>8119</v>
      </c>
      <c r="F5169" s="129">
        <f t="shared" si="449"/>
        <v>143</v>
      </c>
    </row>
    <row r="5170" spans="1:6" ht="15.75" thickBot="1" x14ac:dyDescent="0.3">
      <c r="A5170" s="140" t="s">
        <v>48</v>
      </c>
      <c r="B5170" s="145">
        <v>44108</v>
      </c>
      <c r="C5170" s="4">
        <v>0</v>
      </c>
      <c r="D5170" s="29">
        <f t="shared" si="450"/>
        <v>105</v>
      </c>
      <c r="F5170" s="129">
        <f t="shared" si="449"/>
        <v>1</v>
      </c>
    </row>
    <row r="5171" spans="1:6" ht="15.75" thickBot="1" x14ac:dyDescent="0.3">
      <c r="A5171" s="140" t="s">
        <v>39</v>
      </c>
      <c r="B5171" s="145">
        <v>44108</v>
      </c>
      <c r="C5171" s="4">
        <v>37</v>
      </c>
      <c r="D5171" s="29">
        <f t="shared" si="450"/>
        <v>16120</v>
      </c>
      <c r="E5171" s="4">
        <f>16+5</f>
        <v>21</v>
      </c>
      <c r="F5171" s="129">
        <f t="shared" si="449"/>
        <v>560</v>
      </c>
    </row>
    <row r="5172" spans="1:6" ht="15.75" thickBot="1" x14ac:dyDescent="0.3">
      <c r="A5172" s="140" t="s">
        <v>40</v>
      </c>
      <c r="B5172" s="145">
        <v>44108</v>
      </c>
      <c r="C5172" s="4">
        <v>24</v>
      </c>
      <c r="D5172" s="29">
        <f t="shared" si="450"/>
        <v>855</v>
      </c>
      <c r="E5172" s="4">
        <f>2</f>
        <v>2</v>
      </c>
      <c r="F5172" s="129">
        <f t="shared" ref="F5172:F5183" si="451">E5172+F5148</f>
        <v>11</v>
      </c>
    </row>
    <row r="5173" spans="1:6" ht="15.75" thickBot="1" x14ac:dyDescent="0.3">
      <c r="A5173" s="140" t="s">
        <v>28</v>
      </c>
      <c r="B5173" s="145">
        <v>44108</v>
      </c>
      <c r="C5173" s="4">
        <v>62</v>
      </c>
      <c r="D5173" s="29">
        <f t="shared" si="450"/>
        <v>5116</v>
      </c>
      <c r="F5173" s="129">
        <f t="shared" si="451"/>
        <v>105</v>
      </c>
    </row>
    <row r="5174" spans="1:6" ht="15.75" thickBot="1" x14ac:dyDescent="0.3">
      <c r="A5174" s="140" t="s">
        <v>24</v>
      </c>
      <c r="B5174" s="145">
        <v>44108</v>
      </c>
      <c r="C5174" s="4">
        <v>377</v>
      </c>
      <c r="D5174" s="29">
        <f t="shared" si="450"/>
        <v>27501</v>
      </c>
      <c r="E5174" s="4">
        <f>2+4</f>
        <v>6</v>
      </c>
      <c r="F5174" s="129">
        <f t="shared" si="451"/>
        <v>310</v>
      </c>
    </row>
    <row r="5175" spans="1:6" ht="15.75" thickBot="1" x14ac:dyDescent="0.3">
      <c r="A5175" s="140" t="s">
        <v>30</v>
      </c>
      <c r="B5175" s="145">
        <v>44108</v>
      </c>
      <c r="C5175" s="4">
        <v>-1</v>
      </c>
      <c r="D5175" s="29">
        <f t="shared" si="450"/>
        <v>103</v>
      </c>
      <c r="F5175" s="129">
        <f t="shared" si="451"/>
        <v>4</v>
      </c>
    </row>
    <row r="5176" spans="1:6" ht="15.75" thickBot="1" x14ac:dyDescent="0.3">
      <c r="A5176" s="140" t="s">
        <v>26</v>
      </c>
      <c r="B5176" s="145">
        <v>44108</v>
      </c>
      <c r="C5176" s="4">
        <v>266</v>
      </c>
      <c r="D5176" s="29">
        <f>C5176+D5152</f>
        <v>8879</v>
      </c>
      <c r="E5176" s="4">
        <f>1</f>
        <v>1</v>
      </c>
      <c r="F5176" s="129">
        <f t="shared" si="451"/>
        <v>122</v>
      </c>
    </row>
    <row r="5177" spans="1:6" ht="15.75" thickBot="1" x14ac:dyDescent="0.3">
      <c r="A5177" s="140" t="s">
        <v>25</v>
      </c>
      <c r="B5177" s="145">
        <v>44108</v>
      </c>
      <c r="C5177" s="4">
        <v>230</v>
      </c>
      <c r="D5177" s="29">
        <f>C5177+D5153</f>
        <v>14057</v>
      </c>
      <c r="E5177" s="4">
        <f>2+1</f>
        <v>3</v>
      </c>
      <c r="F5177" s="129">
        <f t="shared" si="451"/>
        <v>310</v>
      </c>
    </row>
    <row r="5178" spans="1:6" ht="15.75" thickBot="1" x14ac:dyDescent="0.3">
      <c r="A5178" s="140" t="s">
        <v>41</v>
      </c>
      <c r="B5178" s="145">
        <v>44108</v>
      </c>
      <c r="C5178" s="4">
        <v>288</v>
      </c>
      <c r="D5178" s="29">
        <f>C5178+D5154</f>
        <v>13523</v>
      </c>
      <c r="E5178" s="4">
        <f>10+7</f>
        <v>17</v>
      </c>
      <c r="F5178" s="129">
        <f>E5178+F5154</f>
        <v>383</v>
      </c>
    </row>
    <row r="5179" spans="1:6" ht="15.75" thickBot="1" x14ac:dyDescent="0.3">
      <c r="A5179" s="140" t="s">
        <v>42</v>
      </c>
      <c r="B5179" s="145">
        <v>44108</v>
      </c>
      <c r="C5179" s="4">
        <v>10</v>
      </c>
      <c r="D5179" s="29">
        <f t="shared" ref="D5179:D5185" si="452">C5179+D5155</f>
        <v>839</v>
      </c>
      <c r="E5179" s="4">
        <f>2</f>
        <v>2</v>
      </c>
      <c r="F5179" s="129">
        <f>E5179+F5155</f>
        <v>42</v>
      </c>
    </row>
    <row r="5180" spans="1:6" ht="15.75" thickBot="1" x14ac:dyDescent="0.3">
      <c r="A5180" s="140" t="s">
        <v>43</v>
      </c>
      <c r="B5180" s="145">
        <v>44108</v>
      </c>
      <c r="C5180" s="4">
        <v>51</v>
      </c>
      <c r="D5180" s="29">
        <f t="shared" si="452"/>
        <v>1700</v>
      </c>
      <c r="E5180" s="4">
        <f>4+2</f>
        <v>6</v>
      </c>
      <c r="F5180" s="129">
        <f t="shared" si="451"/>
        <v>25</v>
      </c>
    </row>
    <row r="5181" spans="1:6" ht="15.75" thickBot="1" x14ac:dyDescent="0.3">
      <c r="A5181" s="140" t="s">
        <v>44</v>
      </c>
      <c r="B5181" s="145">
        <v>44108</v>
      </c>
      <c r="C5181" s="4">
        <v>109</v>
      </c>
      <c r="D5181" s="29">
        <f t="shared" si="452"/>
        <v>5453</v>
      </c>
      <c r="E5181" s="4">
        <f>1</f>
        <v>1</v>
      </c>
      <c r="F5181" s="129">
        <f>E5181+F5157</f>
        <v>68</v>
      </c>
    </row>
    <row r="5182" spans="1:6" ht="15.75" thickBot="1" x14ac:dyDescent="0.3">
      <c r="A5182" s="140" t="s">
        <v>29</v>
      </c>
      <c r="B5182" s="145">
        <v>44108</v>
      </c>
      <c r="C5182" s="4">
        <v>851</v>
      </c>
      <c r="D5182" s="29">
        <f t="shared" si="452"/>
        <v>49016</v>
      </c>
      <c r="E5182" s="4">
        <f>6+10</f>
        <v>16</v>
      </c>
      <c r="F5182" s="129">
        <f>E5182+F5158</f>
        <v>522</v>
      </c>
    </row>
    <row r="5183" spans="1:6" ht="15.75" thickBot="1" x14ac:dyDescent="0.3">
      <c r="A5183" s="140" t="s">
        <v>45</v>
      </c>
      <c r="B5183" s="145">
        <v>44108</v>
      </c>
      <c r="C5183" s="4">
        <v>58</v>
      </c>
      <c r="D5183" s="29">
        <f t="shared" si="452"/>
        <v>3902</v>
      </c>
      <c r="E5183" s="4">
        <f>2</f>
        <v>2</v>
      </c>
      <c r="F5183" s="129">
        <f t="shared" si="451"/>
        <v>67</v>
      </c>
    </row>
    <row r="5184" spans="1:6" ht="15.75" thickBot="1" x14ac:dyDescent="0.3">
      <c r="A5184" s="140" t="s">
        <v>46</v>
      </c>
      <c r="B5184" s="145">
        <v>44108</v>
      </c>
      <c r="C5184" s="4">
        <v>135</v>
      </c>
      <c r="D5184" s="29">
        <f t="shared" si="452"/>
        <v>5043</v>
      </c>
      <c r="F5184" s="129">
        <f t="shared" ref="F5184:F5195" si="453">E5184+F5160</f>
        <v>71</v>
      </c>
    </row>
    <row r="5185" spans="1:6" ht="15.75" thickBot="1" x14ac:dyDescent="0.3">
      <c r="A5185" s="141" t="s">
        <v>47</v>
      </c>
      <c r="B5185" s="145">
        <v>44108</v>
      </c>
      <c r="C5185" s="4">
        <v>336</v>
      </c>
      <c r="D5185" s="132">
        <f t="shared" si="452"/>
        <v>16968</v>
      </c>
      <c r="E5185" s="4">
        <f>1+1</f>
        <v>2</v>
      </c>
      <c r="F5185" s="130">
        <f t="shared" si="453"/>
        <v>142</v>
      </c>
    </row>
    <row r="5186" spans="1:6" ht="15.75" thickBot="1" x14ac:dyDescent="0.3">
      <c r="A5186" s="64" t="s">
        <v>22</v>
      </c>
      <c r="B5186" s="145">
        <v>44109</v>
      </c>
      <c r="C5186" s="4">
        <v>4471</v>
      </c>
      <c r="D5186" s="131">
        <f>C5186+D5162</f>
        <v>440405</v>
      </c>
      <c r="E5186" s="4">
        <v>203</v>
      </c>
      <c r="F5186" s="128">
        <f t="shared" si="453"/>
        <v>13730</v>
      </c>
    </row>
    <row r="5187" spans="1:6" ht="15.75" thickBot="1" x14ac:dyDescent="0.3">
      <c r="A5187" s="140" t="s">
        <v>20</v>
      </c>
      <c r="B5187" s="145">
        <v>44109</v>
      </c>
      <c r="C5187" s="4">
        <v>684</v>
      </c>
      <c r="D5187" s="29">
        <f t="shared" ref="D5187:D5199" si="454">C5187+D5163</f>
        <v>129958</v>
      </c>
      <c r="E5187" s="4">
        <v>59</v>
      </c>
      <c r="F5187" s="129">
        <f t="shared" si="453"/>
        <v>3589</v>
      </c>
    </row>
    <row r="5188" spans="1:6" ht="15.75" thickBot="1" x14ac:dyDescent="0.3">
      <c r="A5188" s="140" t="s">
        <v>35</v>
      </c>
      <c r="B5188" s="145">
        <v>44109</v>
      </c>
      <c r="C5188" s="4">
        <v>0</v>
      </c>
      <c r="D5188" s="29">
        <f t="shared" si="454"/>
        <v>318</v>
      </c>
      <c r="F5188" s="129">
        <f t="shared" si="453"/>
        <v>0</v>
      </c>
    </row>
    <row r="5189" spans="1:6" ht="15.75" thickBot="1" x14ac:dyDescent="0.3">
      <c r="A5189" s="140" t="s">
        <v>21</v>
      </c>
      <c r="B5189" s="145">
        <v>44109</v>
      </c>
      <c r="C5189" s="4">
        <v>101</v>
      </c>
      <c r="D5189" s="29">
        <f t="shared" si="454"/>
        <v>9341</v>
      </c>
      <c r="E5189" s="4">
        <v>5</v>
      </c>
      <c r="F5189" s="129">
        <f t="shared" si="453"/>
        <v>304</v>
      </c>
    </row>
    <row r="5190" spans="1:6" ht="15.75" thickBot="1" x14ac:dyDescent="0.3">
      <c r="A5190" s="140" t="s">
        <v>36</v>
      </c>
      <c r="B5190" s="145">
        <v>44109</v>
      </c>
      <c r="C5190" s="4">
        <v>234</v>
      </c>
      <c r="D5190" s="29">
        <f t="shared" si="454"/>
        <v>4921</v>
      </c>
      <c r="E5190" s="4">
        <v>11</v>
      </c>
      <c r="F5190" s="129">
        <f t="shared" si="453"/>
        <v>69</v>
      </c>
    </row>
    <row r="5191" spans="1:6" ht="15.75" thickBot="1" x14ac:dyDescent="0.3">
      <c r="A5191" s="140" t="s">
        <v>27</v>
      </c>
      <c r="B5191" s="145">
        <v>44109</v>
      </c>
      <c r="C5191" s="4">
        <v>1188</v>
      </c>
      <c r="D5191" s="29">
        <f t="shared" si="454"/>
        <v>41738</v>
      </c>
      <c r="E5191" s="4">
        <v>21</v>
      </c>
      <c r="F5191" s="129">
        <f t="shared" si="453"/>
        <v>493</v>
      </c>
    </row>
    <row r="5192" spans="1:6" ht="15.75" thickBot="1" x14ac:dyDescent="0.3">
      <c r="A5192" s="140" t="s">
        <v>37</v>
      </c>
      <c r="B5192" s="145">
        <v>44109</v>
      </c>
      <c r="C5192" s="4">
        <v>110</v>
      </c>
      <c r="D5192" s="29">
        <f t="shared" si="454"/>
        <v>1284</v>
      </c>
      <c r="E5192" s="4">
        <v>1</v>
      </c>
      <c r="F5192" s="129">
        <f t="shared" si="453"/>
        <v>28</v>
      </c>
    </row>
    <row r="5193" spans="1:6" ht="15.75" thickBot="1" x14ac:dyDescent="0.3">
      <c r="A5193" s="140" t="s">
        <v>38</v>
      </c>
      <c r="B5193" s="145">
        <v>44109</v>
      </c>
      <c r="C5193" s="4">
        <v>129</v>
      </c>
      <c r="D5193" s="29">
        <f t="shared" si="454"/>
        <v>8248</v>
      </c>
      <c r="E5193" s="4">
        <v>7</v>
      </c>
      <c r="F5193" s="129">
        <f t="shared" si="453"/>
        <v>150</v>
      </c>
    </row>
    <row r="5194" spans="1:6" ht="15.75" thickBot="1" x14ac:dyDescent="0.3">
      <c r="A5194" s="140" t="s">
        <v>48</v>
      </c>
      <c r="B5194" s="145">
        <v>44109</v>
      </c>
      <c r="C5194" s="4">
        <v>1</v>
      </c>
      <c r="D5194" s="29">
        <f t="shared" si="454"/>
        <v>106</v>
      </c>
      <c r="F5194" s="129">
        <f t="shared" si="453"/>
        <v>1</v>
      </c>
    </row>
    <row r="5195" spans="1:6" ht="15.75" thickBot="1" x14ac:dyDescent="0.3">
      <c r="A5195" s="140" t="s">
        <v>39</v>
      </c>
      <c r="B5195" s="145">
        <v>44109</v>
      </c>
      <c r="C5195" s="4">
        <v>61</v>
      </c>
      <c r="D5195" s="29">
        <f t="shared" si="454"/>
        <v>16181</v>
      </c>
      <c r="E5195" s="4">
        <v>29</v>
      </c>
      <c r="F5195" s="129">
        <f t="shared" si="453"/>
        <v>589</v>
      </c>
    </row>
    <row r="5196" spans="1:6" ht="15.75" thickBot="1" x14ac:dyDescent="0.3">
      <c r="A5196" s="140" t="s">
        <v>40</v>
      </c>
      <c r="B5196" s="145">
        <v>44109</v>
      </c>
      <c r="C5196" s="4">
        <v>16</v>
      </c>
      <c r="D5196" s="29">
        <f t="shared" si="454"/>
        <v>871</v>
      </c>
      <c r="F5196" s="129">
        <f t="shared" ref="F5196:F5207" si="455">E5196+F5172</f>
        <v>11</v>
      </c>
    </row>
    <row r="5197" spans="1:6" ht="15.75" thickBot="1" x14ac:dyDescent="0.3">
      <c r="A5197" s="140" t="s">
        <v>28</v>
      </c>
      <c r="B5197" s="145">
        <v>44109</v>
      </c>
      <c r="C5197" s="4">
        <v>85</v>
      </c>
      <c r="D5197" s="29">
        <f t="shared" si="454"/>
        <v>5201</v>
      </c>
      <c r="F5197" s="129">
        <f t="shared" si="455"/>
        <v>105</v>
      </c>
    </row>
    <row r="5198" spans="1:6" ht="15.75" thickBot="1" x14ac:dyDescent="0.3">
      <c r="A5198" s="140" t="s">
        <v>24</v>
      </c>
      <c r="B5198" s="145">
        <v>44109</v>
      </c>
      <c r="C5198" s="4">
        <v>384</v>
      </c>
      <c r="D5198" s="29">
        <f t="shared" si="454"/>
        <v>27885</v>
      </c>
      <c r="E5198" s="4">
        <v>8</v>
      </c>
      <c r="F5198" s="129">
        <f t="shared" si="455"/>
        <v>318</v>
      </c>
    </row>
    <row r="5199" spans="1:6" ht="15.75" thickBot="1" x14ac:dyDescent="0.3">
      <c r="A5199" s="140" t="s">
        <v>30</v>
      </c>
      <c r="B5199" s="145">
        <v>44109</v>
      </c>
      <c r="C5199" s="4">
        <v>4</v>
      </c>
      <c r="D5199" s="29">
        <f t="shared" si="454"/>
        <v>107</v>
      </c>
      <c r="F5199" s="129">
        <f t="shared" si="455"/>
        <v>4</v>
      </c>
    </row>
    <row r="5200" spans="1:6" ht="15.75" thickBot="1" x14ac:dyDescent="0.3">
      <c r="A5200" s="140" t="s">
        <v>26</v>
      </c>
      <c r="B5200" s="145">
        <v>44109</v>
      </c>
      <c r="C5200" s="4">
        <v>251</v>
      </c>
      <c r="D5200" s="29">
        <f>C5200+D5176</f>
        <v>9130</v>
      </c>
      <c r="F5200" s="129">
        <f t="shared" si="455"/>
        <v>122</v>
      </c>
    </row>
    <row r="5201" spans="1:6" ht="15.75" thickBot="1" x14ac:dyDescent="0.3">
      <c r="A5201" s="140" t="s">
        <v>25</v>
      </c>
      <c r="B5201" s="145">
        <v>44109</v>
      </c>
      <c r="C5201" s="4">
        <v>257</v>
      </c>
      <c r="D5201" s="29">
        <f>C5201+D5177</f>
        <v>14314</v>
      </c>
      <c r="E5201" s="4">
        <v>10</v>
      </c>
      <c r="F5201" s="129">
        <f t="shared" si="455"/>
        <v>320</v>
      </c>
    </row>
    <row r="5202" spans="1:6" ht="15.75" thickBot="1" x14ac:dyDescent="0.3">
      <c r="A5202" s="140" t="s">
        <v>41</v>
      </c>
      <c r="B5202" s="145">
        <v>44109</v>
      </c>
      <c r="C5202" s="4">
        <v>217</v>
      </c>
      <c r="D5202" s="29">
        <f>C5202+D5178</f>
        <v>13740</v>
      </c>
      <c r="E5202" s="4">
        <v>41</v>
      </c>
      <c r="F5202" s="129">
        <f>E5202+F5178</f>
        <v>424</v>
      </c>
    </row>
    <row r="5203" spans="1:6" ht="15.75" thickBot="1" x14ac:dyDescent="0.3">
      <c r="A5203" s="140" t="s">
        <v>42</v>
      </c>
      <c r="B5203" s="145">
        <v>44109</v>
      </c>
      <c r="C5203" s="4">
        <v>84</v>
      </c>
      <c r="D5203" s="29">
        <f t="shared" ref="D5203:D5209" si="456">C5203+D5179</f>
        <v>923</v>
      </c>
      <c r="F5203" s="129">
        <f>E5203+F5179</f>
        <v>42</v>
      </c>
    </row>
    <row r="5204" spans="1:6" ht="15.75" thickBot="1" x14ac:dyDescent="0.3">
      <c r="A5204" s="140" t="s">
        <v>43</v>
      </c>
      <c r="B5204" s="145">
        <v>44109</v>
      </c>
      <c r="C5204" s="4">
        <v>104</v>
      </c>
      <c r="D5204" s="29">
        <f t="shared" si="456"/>
        <v>1804</v>
      </c>
      <c r="E5204" s="4">
        <v>3</v>
      </c>
      <c r="F5204" s="129">
        <f t="shared" si="455"/>
        <v>28</v>
      </c>
    </row>
    <row r="5205" spans="1:6" ht="15.75" thickBot="1" x14ac:dyDescent="0.3">
      <c r="A5205" s="140" t="s">
        <v>44</v>
      </c>
      <c r="B5205" s="145">
        <v>44109</v>
      </c>
      <c r="C5205" s="4">
        <v>110</v>
      </c>
      <c r="D5205" s="29">
        <f t="shared" si="456"/>
        <v>5563</v>
      </c>
      <c r="E5205" s="4">
        <v>3</v>
      </c>
      <c r="F5205" s="129">
        <f>E5205+F5181</f>
        <v>71</v>
      </c>
    </row>
    <row r="5206" spans="1:6" ht="15.75" thickBot="1" x14ac:dyDescent="0.3">
      <c r="A5206" s="140" t="s">
        <v>29</v>
      </c>
      <c r="B5206" s="145">
        <v>44109</v>
      </c>
      <c r="C5206" s="4">
        <v>1670</v>
      </c>
      <c r="D5206" s="29">
        <f t="shared" si="456"/>
        <v>50686</v>
      </c>
      <c r="E5206" s="4">
        <v>34</v>
      </c>
      <c r="F5206" s="129">
        <f>E5206+F5182</f>
        <v>556</v>
      </c>
    </row>
    <row r="5207" spans="1:6" ht="15.75" thickBot="1" x14ac:dyDescent="0.3">
      <c r="A5207" s="140" t="s">
        <v>45</v>
      </c>
      <c r="B5207" s="145">
        <v>44109</v>
      </c>
      <c r="C5207" s="4">
        <v>112</v>
      </c>
      <c r="D5207" s="29">
        <f t="shared" si="456"/>
        <v>4014</v>
      </c>
      <c r="E5207" s="4">
        <v>2</v>
      </c>
      <c r="F5207" s="129">
        <f t="shared" si="455"/>
        <v>69</v>
      </c>
    </row>
    <row r="5208" spans="1:6" ht="15.75" thickBot="1" x14ac:dyDescent="0.3">
      <c r="A5208" s="140" t="s">
        <v>46</v>
      </c>
      <c r="B5208" s="145">
        <v>44109</v>
      </c>
      <c r="C5208" s="4">
        <v>133</v>
      </c>
      <c r="D5208" s="29">
        <f t="shared" si="456"/>
        <v>5176</v>
      </c>
      <c r="E5208" s="4">
        <v>3</v>
      </c>
      <c r="F5208" s="129">
        <f t="shared" ref="F5208:F5219" si="457">E5208+F5184</f>
        <v>74</v>
      </c>
    </row>
    <row r="5209" spans="1:6" ht="15.75" thickBot="1" x14ac:dyDescent="0.3">
      <c r="A5209" s="141" t="s">
        <v>47</v>
      </c>
      <c r="B5209" s="145">
        <v>44109</v>
      </c>
      <c r="C5209" s="4">
        <v>836</v>
      </c>
      <c r="D5209" s="132">
        <f t="shared" si="456"/>
        <v>17804</v>
      </c>
      <c r="E5209" s="4">
        <v>9</v>
      </c>
      <c r="F5209" s="130">
        <f t="shared" si="457"/>
        <v>151</v>
      </c>
    </row>
    <row r="5210" spans="1:6" ht="15.75" thickBot="1" x14ac:dyDescent="0.3">
      <c r="A5210" s="64" t="s">
        <v>22</v>
      </c>
      <c r="B5210" s="145">
        <v>44110</v>
      </c>
      <c r="C5210" s="4">
        <v>5659</v>
      </c>
      <c r="D5210" s="131">
        <f>C5210+D5186</f>
        <v>446064</v>
      </c>
      <c r="E5210" s="4">
        <v>149</v>
      </c>
      <c r="F5210" s="128">
        <f t="shared" si="457"/>
        <v>13879</v>
      </c>
    </row>
    <row r="5211" spans="1:6" ht="15.75" thickBot="1" x14ac:dyDescent="0.3">
      <c r="A5211" s="140" t="s">
        <v>20</v>
      </c>
      <c r="B5211" s="145">
        <v>44110</v>
      </c>
      <c r="C5211" s="4">
        <v>883</v>
      </c>
      <c r="D5211" s="29">
        <f t="shared" ref="D5211:D5223" si="458">C5211+D5187</f>
        <v>130841</v>
      </c>
      <c r="E5211" s="4">
        <v>51</v>
      </c>
      <c r="F5211" s="129">
        <f t="shared" si="457"/>
        <v>3640</v>
      </c>
    </row>
    <row r="5212" spans="1:6" ht="15.75" thickBot="1" x14ac:dyDescent="0.3">
      <c r="A5212" s="140" t="s">
        <v>35</v>
      </c>
      <c r="B5212" s="145">
        <v>44110</v>
      </c>
      <c r="C5212" s="4">
        <v>9</v>
      </c>
      <c r="D5212" s="29">
        <f t="shared" si="458"/>
        <v>327</v>
      </c>
      <c r="F5212" s="129">
        <f t="shared" si="457"/>
        <v>0</v>
      </c>
    </row>
    <row r="5213" spans="1:6" ht="15.75" thickBot="1" x14ac:dyDescent="0.3">
      <c r="A5213" s="140" t="s">
        <v>21</v>
      </c>
      <c r="B5213" s="145">
        <v>44110</v>
      </c>
      <c r="C5213" s="4">
        <v>145</v>
      </c>
      <c r="D5213" s="29">
        <f t="shared" si="458"/>
        <v>9486</v>
      </c>
      <c r="E5213" s="4">
        <v>4</v>
      </c>
      <c r="F5213" s="129">
        <f t="shared" si="457"/>
        <v>308</v>
      </c>
    </row>
    <row r="5214" spans="1:6" ht="15.75" thickBot="1" x14ac:dyDescent="0.3">
      <c r="A5214" s="140" t="s">
        <v>36</v>
      </c>
      <c r="B5214" s="145">
        <v>44110</v>
      </c>
      <c r="C5214" s="4">
        <v>322</v>
      </c>
      <c r="D5214" s="29">
        <f t="shared" si="458"/>
        <v>5243</v>
      </c>
      <c r="F5214" s="129">
        <f t="shared" si="457"/>
        <v>69</v>
      </c>
    </row>
    <row r="5215" spans="1:6" ht="15.75" thickBot="1" x14ac:dyDescent="0.3">
      <c r="A5215" s="140" t="s">
        <v>27</v>
      </c>
      <c r="B5215" s="145">
        <v>44110</v>
      </c>
      <c r="C5215" s="4">
        <v>1455</v>
      </c>
      <c r="D5215" s="29">
        <f t="shared" si="458"/>
        <v>43193</v>
      </c>
      <c r="E5215" s="4">
        <v>21</v>
      </c>
      <c r="F5215" s="129">
        <f t="shared" si="457"/>
        <v>514</v>
      </c>
    </row>
    <row r="5216" spans="1:6" ht="15.75" thickBot="1" x14ac:dyDescent="0.3">
      <c r="A5216" s="140" t="s">
        <v>37</v>
      </c>
      <c r="B5216" s="145">
        <v>44110</v>
      </c>
      <c r="C5216" s="4">
        <v>72</v>
      </c>
      <c r="D5216" s="29">
        <f t="shared" si="458"/>
        <v>1356</v>
      </c>
      <c r="E5216" s="4">
        <v>3</v>
      </c>
      <c r="F5216" s="129">
        <f t="shared" si="457"/>
        <v>31</v>
      </c>
    </row>
    <row r="5217" spans="1:6" ht="15.75" thickBot="1" x14ac:dyDescent="0.3">
      <c r="A5217" s="140" t="s">
        <v>38</v>
      </c>
      <c r="B5217" s="145">
        <v>44110</v>
      </c>
      <c r="C5217" s="4">
        <v>201</v>
      </c>
      <c r="D5217" s="29">
        <f t="shared" si="458"/>
        <v>8449</v>
      </c>
      <c r="E5217" s="4">
        <v>3</v>
      </c>
      <c r="F5217" s="129">
        <f t="shared" si="457"/>
        <v>153</v>
      </c>
    </row>
    <row r="5218" spans="1:6" ht="15.75" thickBot="1" x14ac:dyDescent="0.3">
      <c r="A5218" s="140" t="s">
        <v>48</v>
      </c>
      <c r="B5218" s="145">
        <v>44110</v>
      </c>
      <c r="C5218" s="4">
        <v>0</v>
      </c>
      <c r="D5218" s="29">
        <f t="shared" si="458"/>
        <v>106</v>
      </c>
      <c r="F5218" s="129">
        <f t="shared" si="457"/>
        <v>1</v>
      </c>
    </row>
    <row r="5219" spans="1:6" ht="15.75" thickBot="1" x14ac:dyDescent="0.3">
      <c r="A5219" s="140" t="s">
        <v>39</v>
      </c>
      <c r="B5219" s="145">
        <v>44110</v>
      </c>
      <c r="C5219" s="4">
        <v>109</v>
      </c>
      <c r="D5219" s="29">
        <f t="shared" si="458"/>
        <v>16290</v>
      </c>
      <c r="E5219" s="4">
        <v>19</v>
      </c>
      <c r="F5219" s="129">
        <f t="shared" si="457"/>
        <v>608</v>
      </c>
    </row>
    <row r="5220" spans="1:6" ht="15.75" thickBot="1" x14ac:dyDescent="0.3">
      <c r="A5220" s="140" t="s">
        <v>40</v>
      </c>
      <c r="B5220" s="145">
        <v>44110</v>
      </c>
      <c r="C5220" s="4">
        <v>26</v>
      </c>
      <c r="D5220" s="29">
        <f t="shared" si="458"/>
        <v>897</v>
      </c>
      <c r="F5220" s="129">
        <f t="shared" ref="F5220:F5231" si="459">E5220+F5196</f>
        <v>11</v>
      </c>
    </row>
    <row r="5221" spans="1:6" ht="15.75" thickBot="1" x14ac:dyDescent="0.3">
      <c r="A5221" s="140" t="s">
        <v>28</v>
      </c>
      <c r="B5221" s="145">
        <v>44110</v>
      </c>
      <c r="C5221" s="4">
        <v>110</v>
      </c>
      <c r="D5221" s="29">
        <f t="shared" si="458"/>
        <v>5311</v>
      </c>
      <c r="F5221" s="129">
        <f t="shared" si="459"/>
        <v>105</v>
      </c>
    </row>
    <row r="5222" spans="1:6" ht="15.75" thickBot="1" x14ac:dyDescent="0.3">
      <c r="A5222" s="140" t="s">
        <v>24</v>
      </c>
      <c r="B5222" s="145">
        <v>44110</v>
      </c>
      <c r="C5222" s="4">
        <v>680</v>
      </c>
      <c r="D5222" s="29">
        <f t="shared" si="458"/>
        <v>28565</v>
      </c>
      <c r="E5222" s="4">
        <v>44</v>
      </c>
      <c r="F5222" s="129">
        <f t="shared" si="459"/>
        <v>362</v>
      </c>
    </row>
    <row r="5223" spans="1:6" ht="15.75" thickBot="1" x14ac:dyDescent="0.3">
      <c r="A5223" s="140" t="s">
        <v>30</v>
      </c>
      <c r="B5223" s="145">
        <v>44110</v>
      </c>
      <c r="C5223" s="4">
        <v>11</v>
      </c>
      <c r="D5223" s="29">
        <f t="shared" si="458"/>
        <v>118</v>
      </c>
      <c r="F5223" s="129">
        <f t="shared" si="459"/>
        <v>4</v>
      </c>
    </row>
    <row r="5224" spans="1:6" ht="15.75" thickBot="1" x14ac:dyDescent="0.3">
      <c r="A5224" s="140" t="s">
        <v>26</v>
      </c>
      <c r="B5224" s="145">
        <v>44110</v>
      </c>
      <c r="C5224" s="4">
        <v>356</v>
      </c>
      <c r="D5224" s="29">
        <f>C5224+D5200</f>
        <v>9486</v>
      </c>
      <c r="E5224" s="4">
        <v>1</v>
      </c>
      <c r="F5224" s="129">
        <f t="shared" si="459"/>
        <v>123</v>
      </c>
    </row>
    <row r="5225" spans="1:6" ht="15.75" thickBot="1" x14ac:dyDescent="0.3">
      <c r="A5225" s="140" t="s">
        <v>25</v>
      </c>
      <c r="B5225" s="145">
        <v>44110</v>
      </c>
      <c r="C5225" s="4">
        <v>338</v>
      </c>
      <c r="D5225" s="29">
        <f>C5225+D5201</f>
        <v>14652</v>
      </c>
      <c r="E5225" s="4">
        <v>11</v>
      </c>
      <c r="F5225" s="129">
        <f t="shared" si="459"/>
        <v>331</v>
      </c>
    </row>
    <row r="5226" spans="1:6" ht="15.75" thickBot="1" x14ac:dyDescent="0.3">
      <c r="A5226" s="140" t="s">
        <v>41</v>
      </c>
      <c r="B5226" s="145">
        <v>44110</v>
      </c>
      <c r="C5226" s="4">
        <v>222</v>
      </c>
      <c r="D5226" s="29">
        <f>C5226+D5202</f>
        <v>13962</v>
      </c>
      <c r="E5226" s="4">
        <v>11</v>
      </c>
      <c r="F5226" s="129">
        <f>E5226+F5202</f>
        <v>435</v>
      </c>
    </row>
    <row r="5227" spans="1:6" ht="15.75" thickBot="1" x14ac:dyDescent="0.3">
      <c r="A5227" s="140" t="s">
        <v>42</v>
      </c>
      <c r="B5227" s="145">
        <v>44110</v>
      </c>
      <c r="C5227" s="4">
        <v>64</v>
      </c>
      <c r="D5227" s="29">
        <f t="shared" ref="D5227:D5233" si="460">C5227+D5203</f>
        <v>987</v>
      </c>
      <c r="F5227" s="129">
        <f>E5227+F5203</f>
        <v>42</v>
      </c>
    </row>
    <row r="5228" spans="1:6" ht="15.75" thickBot="1" x14ac:dyDescent="0.3">
      <c r="A5228" s="140" t="s">
        <v>43</v>
      </c>
      <c r="B5228" s="145">
        <v>44110</v>
      </c>
      <c r="C5228" s="4">
        <v>61</v>
      </c>
      <c r="D5228" s="29">
        <f t="shared" si="460"/>
        <v>1865</v>
      </c>
      <c r="E5228" s="4">
        <v>3</v>
      </c>
      <c r="F5228" s="129">
        <f t="shared" si="459"/>
        <v>31</v>
      </c>
    </row>
    <row r="5229" spans="1:6" ht="15.75" thickBot="1" x14ac:dyDescent="0.3">
      <c r="A5229" s="140" t="s">
        <v>44</v>
      </c>
      <c r="B5229" s="145">
        <v>44110</v>
      </c>
      <c r="C5229" s="4">
        <v>55</v>
      </c>
      <c r="D5229" s="29">
        <f t="shared" si="460"/>
        <v>5618</v>
      </c>
      <c r="E5229" s="4">
        <v>1</v>
      </c>
      <c r="F5229" s="129">
        <f>E5229+F5205</f>
        <v>72</v>
      </c>
    </row>
    <row r="5230" spans="1:6" ht="15.75" thickBot="1" x14ac:dyDescent="0.3">
      <c r="A5230" s="140" t="s">
        <v>29</v>
      </c>
      <c r="B5230" s="145">
        <v>44110</v>
      </c>
      <c r="C5230" s="4">
        <v>2209</v>
      </c>
      <c r="D5230" s="29">
        <f t="shared" si="460"/>
        <v>52895</v>
      </c>
      <c r="E5230" s="4">
        <v>16</v>
      </c>
      <c r="F5230" s="129">
        <f>E5230+F5206</f>
        <v>572</v>
      </c>
    </row>
    <row r="5231" spans="1:6" ht="15.75" thickBot="1" x14ac:dyDescent="0.3">
      <c r="A5231" s="140" t="s">
        <v>45</v>
      </c>
      <c r="B5231" s="145">
        <v>44110</v>
      </c>
      <c r="C5231" s="4">
        <v>154</v>
      </c>
      <c r="D5231" s="29">
        <f t="shared" si="460"/>
        <v>4168</v>
      </c>
      <c r="E5231" s="4">
        <v>4</v>
      </c>
      <c r="F5231" s="129">
        <f t="shared" si="459"/>
        <v>73</v>
      </c>
    </row>
    <row r="5232" spans="1:6" ht="15.75" thickBot="1" x14ac:dyDescent="0.3">
      <c r="A5232" s="140" t="s">
        <v>46</v>
      </c>
      <c r="B5232" s="145">
        <v>44110</v>
      </c>
      <c r="C5232" s="4">
        <v>244</v>
      </c>
      <c r="D5232" s="29">
        <f t="shared" si="460"/>
        <v>5420</v>
      </c>
      <c r="E5232" s="4">
        <v>1</v>
      </c>
      <c r="F5232" s="129">
        <f t="shared" ref="F5232:F5243" si="461">E5232+F5208</f>
        <v>75</v>
      </c>
    </row>
    <row r="5233" spans="1:6" ht="15.75" thickBot="1" x14ac:dyDescent="0.3">
      <c r="A5233" s="141" t="s">
        <v>47</v>
      </c>
      <c r="B5233" s="145">
        <v>44110</v>
      </c>
      <c r="C5233" s="4">
        <v>1356</v>
      </c>
      <c r="D5233" s="132">
        <f t="shared" si="460"/>
        <v>19160</v>
      </c>
      <c r="E5233" s="4">
        <v>17</v>
      </c>
      <c r="F5233" s="130">
        <f t="shared" si="461"/>
        <v>168</v>
      </c>
    </row>
    <row r="5234" spans="1:6" ht="15.75" thickBot="1" x14ac:dyDescent="0.3">
      <c r="A5234" s="64" t="s">
        <v>22</v>
      </c>
      <c r="B5234" s="145">
        <v>44111</v>
      </c>
      <c r="C5234" s="4">
        <v>5222</v>
      </c>
      <c r="D5234" s="131">
        <f>C5234+D5210</f>
        <v>451286</v>
      </c>
      <c r="E5234" s="4">
        <v>187</v>
      </c>
      <c r="F5234" s="128">
        <f t="shared" si="461"/>
        <v>14066</v>
      </c>
    </row>
    <row r="5235" spans="1:6" ht="15.75" thickBot="1" x14ac:dyDescent="0.3">
      <c r="A5235" s="140" t="s">
        <v>20</v>
      </c>
      <c r="B5235" s="145">
        <v>44111</v>
      </c>
      <c r="C5235" s="4">
        <v>956</v>
      </c>
      <c r="D5235" s="29">
        <f t="shared" ref="D5235:D5247" si="462">C5235+D5211</f>
        <v>131797</v>
      </c>
      <c r="E5235" s="4">
        <v>63</v>
      </c>
      <c r="F5235" s="129">
        <f t="shared" si="461"/>
        <v>3703</v>
      </c>
    </row>
    <row r="5236" spans="1:6" ht="15.75" thickBot="1" x14ac:dyDescent="0.3">
      <c r="A5236" s="140" t="s">
        <v>35</v>
      </c>
      <c r="B5236" s="145">
        <v>44111</v>
      </c>
      <c r="C5236" s="4">
        <v>8</v>
      </c>
      <c r="D5236" s="29">
        <f t="shared" si="462"/>
        <v>335</v>
      </c>
      <c r="F5236" s="129">
        <f t="shared" si="461"/>
        <v>0</v>
      </c>
    </row>
    <row r="5237" spans="1:6" ht="15.75" thickBot="1" x14ac:dyDescent="0.3">
      <c r="A5237" s="140" t="s">
        <v>21</v>
      </c>
      <c r="B5237" s="145">
        <v>44111</v>
      </c>
      <c r="C5237" s="4">
        <v>207</v>
      </c>
      <c r="D5237" s="29">
        <f t="shared" si="462"/>
        <v>9693</v>
      </c>
      <c r="E5237" s="4">
        <v>5</v>
      </c>
      <c r="F5237" s="129">
        <f t="shared" si="461"/>
        <v>313</v>
      </c>
    </row>
    <row r="5238" spans="1:6" ht="15.75" thickBot="1" x14ac:dyDescent="0.3">
      <c r="A5238" s="140" t="s">
        <v>36</v>
      </c>
      <c r="B5238" s="145">
        <v>44111</v>
      </c>
      <c r="C5238" s="4">
        <v>381</v>
      </c>
      <c r="D5238" s="29">
        <f t="shared" si="462"/>
        <v>5624</v>
      </c>
      <c r="E5238" s="4">
        <v>5</v>
      </c>
      <c r="F5238" s="129">
        <f t="shared" si="461"/>
        <v>74</v>
      </c>
    </row>
    <row r="5239" spans="1:6" ht="15.75" thickBot="1" x14ac:dyDescent="0.3">
      <c r="A5239" s="140" t="s">
        <v>27</v>
      </c>
      <c r="B5239" s="145">
        <v>44111</v>
      </c>
      <c r="C5239" s="4">
        <v>1749</v>
      </c>
      <c r="D5239" s="29">
        <f t="shared" si="462"/>
        <v>44942</v>
      </c>
      <c r="E5239" s="4">
        <v>10</v>
      </c>
      <c r="F5239" s="129">
        <f t="shared" si="461"/>
        <v>524</v>
      </c>
    </row>
    <row r="5240" spans="1:6" ht="15.75" thickBot="1" x14ac:dyDescent="0.3">
      <c r="A5240" s="140" t="s">
        <v>37</v>
      </c>
      <c r="B5240" s="145">
        <v>44111</v>
      </c>
      <c r="C5240" s="4">
        <v>5</v>
      </c>
      <c r="D5240" s="29">
        <f t="shared" si="462"/>
        <v>1361</v>
      </c>
      <c r="F5240" s="129">
        <f t="shared" si="461"/>
        <v>31</v>
      </c>
    </row>
    <row r="5241" spans="1:6" ht="15.75" thickBot="1" x14ac:dyDescent="0.3">
      <c r="A5241" s="140" t="s">
        <v>38</v>
      </c>
      <c r="B5241" s="145">
        <v>44111</v>
      </c>
      <c r="C5241" s="4">
        <v>170</v>
      </c>
      <c r="D5241" s="29">
        <f t="shared" si="462"/>
        <v>8619</v>
      </c>
      <c r="E5241" s="4">
        <v>7</v>
      </c>
      <c r="F5241" s="129">
        <f t="shared" si="461"/>
        <v>160</v>
      </c>
    </row>
    <row r="5242" spans="1:6" ht="15.75" thickBot="1" x14ac:dyDescent="0.3">
      <c r="A5242" s="140" t="s">
        <v>48</v>
      </c>
      <c r="B5242" s="145">
        <v>44111</v>
      </c>
      <c r="C5242" s="4">
        <v>-1</v>
      </c>
      <c r="D5242" s="29">
        <f t="shared" si="462"/>
        <v>105</v>
      </c>
      <c r="F5242" s="129">
        <f t="shared" si="461"/>
        <v>1</v>
      </c>
    </row>
    <row r="5243" spans="1:6" ht="15.75" thickBot="1" x14ac:dyDescent="0.3">
      <c r="A5243" s="140" t="s">
        <v>39</v>
      </c>
      <c r="B5243" s="145">
        <v>44111</v>
      </c>
      <c r="C5243" s="4">
        <v>65</v>
      </c>
      <c r="D5243" s="29">
        <f t="shared" si="462"/>
        <v>16355</v>
      </c>
      <c r="F5243" s="129">
        <f t="shared" si="461"/>
        <v>608</v>
      </c>
    </row>
    <row r="5244" spans="1:6" ht="15.75" thickBot="1" x14ac:dyDescent="0.3">
      <c r="A5244" s="140" t="s">
        <v>40</v>
      </c>
      <c r="B5244" s="145">
        <v>44111</v>
      </c>
      <c r="C5244" s="4">
        <v>33</v>
      </c>
      <c r="D5244" s="29">
        <f t="shared" si="462"/>
        <v>930</v>
      </c>
      <c r="F5244" s="129">
        <f t="shared" ref="F5244:F5255" si="463">E5244+F5220</f>
        <v>11</v>
      </c>
    </row>
    <row r="5245" spans="1:6" ht="15.75" thickBot="1" x14ac:dyDescent="0.3">
      <c r="A5245" s="140" t="s">
        <v>28</v>
      </c>
      <c r="B5245" s="145">
        <v>44111</v>
      </c>
      <c r="C5245" s="4">
        <v>119</v>
      </c>
      <c r="D5245" s="29">
        <f t="shared" si="462"/>
        <v>5430</v>
      </c>
      <c r="E5245" s="4">
        <v>25</v>
      </c>
      <c r="F5245" s="129">
        <f t="shared" si="463"/>
        <v>130</v>
      </c>
    </row>
    <row r="5246" spans="1:6" ht="15.75" thickBot="1" x14ac:dyDescent="0.3">
      <c r="A5246" s="140" t="s">
        <v>24</v>
      </c>
      <c r="B5246" s="145">
        <v>44111</v>
      </c>
      <c r="C5246" s="4">
        <v>771</v>
      </c>
      <c r="D5246" s="29">
        <f t="shared" si="462"/>
        <v>29336</v>
      </c>
      <c r="E5246" s="4">
        <v>36</v>
      </c>
      <c r="F5246" s="129">
        <f t="shared" si="463"/>
        <v>398</v>
      </c>
    </row>
    <row r="5247" spans="1:6" ht="15.75" thickBot="1" x14ac:dyDescent="0.3">
      <c r="A5247" s="140" t="s">
        <v>30</v>
      </c>
      <c r="B5247" s="145">
        <v>44111</v>
      </c>
      <c r="C5247" s="4">
        <v>7</v>
      </c>
      <c r="D5247" s="29">
        <f t="shared" si="462"/>
        <v>125</v>
      </c>
      <c r="F5247" s="129">
        <f t="shared" si="463"/>
        <v>4</v>
      </c>
    </row>
    <row r="5248" spans="1:6" ht="15.75" thickBot="1" x14ac:dyDescent="0.3">
      <c r="A5248" s="140" t="s">
        <v>26</v>
      </c>
      <c r="B5248" s="145">
        <v>44111</v>
      </c>
      <c r="C5248" s="4">
        <v>1204</v>
      </c>
      <c r="D5248" s="29">
        <f>C5248+D5224</f>
        <v>10690</v>
      </c>
      <c r="E5248" s="4">
        <v>1</v>
      </c>
      <c r="F5248" s="129">
        <f t="shared" si="463"/>
        <v>124</v>
      </c>
    </row>
    <row r="5249" spans="1:6" ht="15.75" thickBot="1" x14ac:dyDescent="0.3">
      <c r="A5249" s="140" t="s">
        <v>25</v>
      </c>
      <c r="B5249" s="145">
        <v>44111</v>
      </c>
      <c r="C5249" s="4">
        <v>339</v>
      </c>
      <c r="D5249" s="29">
        <f>C5249+D5225</f>
        <v>14991</v>
      </c>
      <c r="E5249" s="4">
        <v>6</v>
      </c>
      <c r="F5249" s="129">
        <f t="shared" si="463"/>
        <v>337</v>
      </c>
    </row>
    <row r="5250" spans="1:6" ht="15.75" thickBot="1" x14ac:dyDescent="0.3">
      <c r="A5250" s="140" t="s">
        <v>41</v>
      </c>
      <c r="B5250" s="145">
        <v>44111</v>
      </c>
      <c r="C5250" s="4">
        <v>289</v>
      </c>
      <c r="D5250" s="29">
        <f>C5250+D5226</f>
        <v>14251</v>
      </c>
      <c r="E5250" s="4">
        <v>18</v>
      </c>
      <c r="F5250" s="129">
        <f>E5250+F5226</f>
        <v>453</v>
      </c>
    </row>
    <row r="5251" spans="1:6" ht="15.75" thickBot="1" x14ac:dyDescent="0.3">
      <c r="A5251" s="140" t="s">
        <v>42</v>
      </c>
      <c r="B5251" s="145">
        <v>44111</v>
      </c>
      <c r="C5251" s="4">
        <v>6</v>
      </c>
      <c r="D5251" s="29">
        <f t="shared" ref="D5251:D5257" si="464">C5251+D5227</f>
        <v>993</v>
      </c>
      <c r="F5251" s="129">
        <f>E5251+F5227</f>
        <v>42</v>
      </c>
    </row>
    <row r="5252" spans="1:6" ht="15.75" thickBot="1" x14ac:dyDescent="0.3">
      <c r="A5252" s="140" t="s">
        <v>43</v>
      </c>
      <c r="B5252" s="145">
        <v>44111</v>
      </c>
      <c r="C5252" s="4">
        <v>125</v>
      </c>
      <c r="D5252" s="29">
        <f t="shared" si="464"/>
        <v>1990</v>
      </c>
      <c r="F5252" s="129">
        <f t="shared" si="463"/>
        <v>31</v>
      </c>
    </row>
    <row r="5253" spans="1:6" ht="15.75" thickBot="1" x14ac:dyDescent="0.3">
      <c r="A5253" s="140" t="s">
        <v>44</v>
      </c>
      <c r="B5253" s="145">
        <v>44111</v>
      </c>
      <c r="C5253" s="4">
        <v>162</v>
      </c>
      <c r="D5253" s="29">
        <f t="shared" si="464"/>
        <v>5780</v>
      </c>
      <c r="E5253" s="4">
        <v>2</v>
      </c>
      <c r="F5253" s="129">
        <f>E5253+F5229</f>
        <v>74</v>
      </c>
    </row>
    <row r="5254" spans="1:6" ht="15.75" thickBot="1" x14ac:dyDescent="0.3">
      <c r="A5254" s="140" t="s">
        <v>29</v>
      </c>
      <c r="B5254" s="145">
        <v>44111</v>
      </c>
      <c r="C5254" s="4">
        <v>2137</v>
      </c>
      <c r="D5254" s="29">
        <f t="shared" si="464"/>
        <v>55032</v>
      </c>
      <c r="E5254" s="4">
        <v>17</v>
      </c>
      <c r="F5254" s="129">
        <f>E5254+F5230</f>
        <v>589</v>
      </c>
    </row>
    <row r="5255" spans="1:6" ht="15.75" thickBot="1" x14ac:dyDescent="0.3">
      <c r="A5255" s="140" t="s">
        <v>45</v>
      </c>
      <c r="B5255" s="145">
        <v>44111</v>
      </c>
      <c r="C5255" s="4">
        <v>60</v>
      </c>
      <c r="D5255" s="29">
        <f t="shared" si="464"/>
        <v>4228</v>
      </c>
      <c r="E5255" s="4">
        <v>5</v>
      </c>
      <c r="F5255" s="129">
        <f t="shared" si="463"/>
        <v>78</v>
      </c>
    </row>
    <row r="5256" spans="1:6" ht="15.75" thickBot="1" x14ac:dyDescent="0.3">
      <c r="A5256" s="140" t="s">
        <v>46</v>
      </c>
      <c r="B5256" s="145">
        <v>44111</v>
      </c>
      <c r="C5256" s="4">
        <v>216</v>
      </c>
      <c r="D5256" s="29">
        <f t="shared" si="464"/>
        <v>5636</v>
      </c>
      <c r="E5256" s="4">
        <v>6</v>
      </c>
      <c r="F5256" s="129">
        <f t="shared" ref="F5256:F5267" si="465">E5256+F5232</f>
        <v>81</v>
      </c>
    </row>
    <row r="5257" spans="1:6" ht="15.75" thickBot="1" x14ac:dyDescent="0.3">
      <c r="A5257" s="141" t="s">
        <v>47</v>
      </c>
      <c r="B5257" s="145">
        <v>44111</v>
      </c>
      <c r="C5257" s="4">
        <v>2217</v>
      </c>
      <c r="D5257" s="132">
        <f t="shared" si="464"/>
        <v>21377</v>
      </c>
      <c r="E5257" s="4">
        <v>8</v>
      </c>
      <c r="F5257" s="130">
        <f t="shared" si="465"/>
        <v>176</v>
      </c>
    </row>
    <row r="5258" spans="1:6" ht="15.75" thickBot="1" x14ac:dyDescent="0.3">
      <c r="A5258" s="64" t="s">
        <v>22</v>
      </c>
      <c r="B5258" s="145">
        <v>44112</v>
      </c>
      <c r="C5258" s="4">
        <v>5184</v>
      </c>
      <c r="D5258" s="131">
        <f>C5258+D5234</f>
        <v>456470</v>
      </c>
      <c r="E5258" s="4">
        <v>186</v>
      </c>
      <c r="F5258" s="128">
        <f t="shared" si="465"/>
        <v>14252</v>
      </c>
    </row>
    <row r="5259" spans="1:6" ht="15.75" thickBot="1" x14ac:dyDescent="0.3">
      <c r="A5259" s="140" t="s">
        <v>20</v>
      </c>
      <c r="B5259" s="145">
        <v>44112</v>
      </c>
      <c r="C5259" s="4">
        <v>937</v>
      </c>
      <c r="D5259" s="29">
        <f t="shared" ref="D5259:D5271" si="466">C5259+D5235</f>
        <v>132734</v>
      </c>
      <c r="E5259" s="4">
        <v>68</v>
      </c>
      <c r="F5259" s="129">
        <f t="shared" si="465"/>
        <v>3771</v>
      </c>
    </row>
    <row r="5260" spans="1:6" ht="15.75" thickBot="1" x14ac:dyDescent="0.3">
      <c r="A5260" s="140" t="s">
        <v>35</v>
      </c>
      <c r="B5260" s="145">
        <v>44112</v>
      </c>
      <c r="C5260" s="4">
        <v>18</v>
      </c>
      <c r="D5260" s="29">
        <f t="shared" si="466"/>
        <v>353</v>
      </c>
      <c r="F5260" s="129">
        <f t="shared" si="465"/>
        <v>0</v>
      </c>
    </row>
    <row r="5261" spans="1:6" ht="15.75" thickBot="1" x14ac:dyDescent="0.3">
      <c r="A5261" s="140" t="s">
        <v>21</v>
      </c>
      <c r="B5261" s="145">
        <v>44112</v>
      </c>
      <c r="C5261" s="4">
        <v>156</v>
      </c>
      <c r="D5261" s="29">
        <f t="shared" si="466"/>
        <v>9849</v>
      </c>
      <c r="E5261" s="4">
        <v>4</v>
      </c>
      <c r="F5261" s="129">
        <f t="shared" si="465"/>
        <v>317</v>
      </c>
    </row>
    <row r="5262" spans="1:6" ht="15.75" thickBot="1" x14ac:dyDescent="0.3">
      <c r="A5262" s="140" t="s">
        <v>36</v>
      </c>
      <c r="B5262" s="145">
        <v>44112</v>
      </c>
      <c r="C5262" s="4">
        <v>312</v>
      </c>
      <c r="D5262" s="29">
        <f t="shared" si="466"/>
        <v>5936</v>
      </c>
      <c r="E5262" s="4">
        <v>3</v>
      </c>
      <c r="F5262" s="129">
        <f t="shared" si="465"/>
        <v>77</v>
      </c>
    </row>
    <row r="5263" spans="1:6" ht="15.75" thickBot="1" x14ac:dyDescent="0.3">
      <c r="A5263" s="140" t="s">
        <v>27</v>
      </c>
      <c r="B5263" s="145">
        <v>44112</v>
      </c>
      <c r="C5263" s="4">
        <v>2090</v>
      </c>
      <c r="D5263" s="29">
        <f t="shared" si="466"/>
        <v>47032</v>
      </c>
      <c r="E5263" s="4">
        <v>18</v>
      </c>
      <c r="F5263" s="129">
        <f t="shared" si="465"/>
        <v>542</v>
      </c>
    </row>
    <row r="5264" spans="1:6" ht="15.75" thickBot="1" x14ac:dyDescent="0.3">
      <c r="A5264" s="140" t="s">
        <v>37</v>
      </c>
      <c r="B5264" s="145">
        <v>44112</v>
      </c>
      <c r="C5264" s="4">
        <v>51</v>
      </c>
      <c r="D5264" s="29">
        <f t="shared" si="466"/>
        <v>1412</v>
      </c>
      <c r="F5264" s="129">
        <f t="shared" si="465"/>
        <v>31</v>
      </c>
    </row>
    <row r="5265" spans="1:6" ht="15.75" thickBot="1" x14ac:dyDescent="0.3">
      <c r="A5265" s="140" t="s">
        <v>38</v>
      </c>
      <c r="B5265" s="145">
        <v>44112</v>
      </c>
      <c r="C5265" s="4">
        <v>220</v>
      </c>
      <c r="D5265" s="29">
        <f t="shared" si="466"/>
        <v>8839</v>
      </c>
      <c r="E5265" s="4">
        <v>6</v>
      </c>
      <c r="F5265" s="129">
        <f t="shared" si="465"/>
        <v>166</v>
      </c>
    </row>
    <row r="5266" spans="1:6" ht="15.75" thickBot="1" x14ac:dyDescent="0.3">
      <c r="A5266" s="140" t="s">
        <v>48</v>
      </c>
      <c r="B5266" s="145">
        <v>44112</v>
      </c>
      <c r="C5266" s="4">
        <v>5</v>
      </c>
      <c r="D5266" s="29">
        <f t="shared" si="466"/>
        <v>110</v>
      </c>
      <c r="F5266" s="129">
        <f t="shared" si="465"/>
        <v>1</v>
      </c>
    </row>
    <row r="5267" spans="1:6" ht="15.75" thickBot="1" x14ac:dyDescent="0.3">
      <c r="A5267" s="140" t="s">
        <v>39</v>
      </c>
      <c r="B5267" s="145">
        <v>44112</v>
      </c>
      <c r="C5267" s="4">
        <v>119</v>
      </c>
      <c r="D5267" s="29">
        <f t="shared" si="466"/>
        <v>16474</v>
      </c>
      <c r="E5267" s="4">
        <v>19</v>
      </c>
      <c r="F5267" s="129">
        <f t="shared" si="465"/>
        <v>627</v>
      </c>
    </row>
    <row r="5268" spans="1:6" ht="15.75" thickBot="1" x14ac:dyDescent="0.3">
      <c r="A5268" s="140" t="s">
        <v>40</v>
      </c>
      <c r="B5268" s="145">
        <v>44112</v>
      </c>
      <c r="C5268" s="4">
        <v>24</v>
      </c>
      <c r="D5268" s="29">
        <f t="shared" si="466"/>
        <v>954</v>
      </c>
      <c r="E5268" s="4">
        <v>1</v>
      </c>
      <c r="F5268" s="129">
        <f t="shared" ref="F5268:F5279" si="467">E5268+F5244</f>
        <v>12</v>
      </c>
    </row>
    <row r="5269" spans="1:6" ht="15.75" thickBot="1" x14ac:dyDescent="0.3">
      <c r="A5269" s="140" t="s">
        <v>28</v>
      </c>
      <c r="B5269" s="145">
        <v>44112</v>
      </c>
      <c r="C5269" s="4">
        <v>117</v>
      </c>
      <c r="D5269" s="29">
        <f t="shared" si="466"/>
        <v>5547</v>
      </c>
      <c r="E5269" s="4">
        <v>30</v>
      </c>
      <c r="F5269" s="129">
        <f t="shared" si="467"/>
        <v>160</v>
      </c>
    </row>
    <row r="5270" spans="1:6" ht="15.75" thickBot="1" x14ac:dyDescent="0.3">
      <c r="A5270" s="140" t="s">
        <v>24</v>
      </c>
      <c r="B5270" s="145">
        <v>44112</v>
      </c>
      <c r="C5270" s="4">
        <v>697</v>
      </c>
      <c r="D5270" s="29">
        <f t="shared" si="466"/>
        <v>30033</v>
      </c>
      <c r="E5270" s="4">
        <v>10</v>
      </c>
      <c r="F5270" s="129">
        <f t="shared" si="467"/>
        <v>408</v>
      </c>
    </row>
    <row r="5271" spans="1:6" ht="15.75" thickBot="1" x14ac:dyDescent="0.3">
      <c r="A5271" s="140" t="s">
        <v>30</v>
      </c>
      <c r="B5271" s="145">
        <v>44112</v>
      </c>
      <c r="C5271" s="4">
        <v>15</v>
      </c>
      <c r="D5271" s="29">
        <f t="shared" si="466"/>
        <v>140</v>
      </c>
      <c r="E5271" s="4">
        <v>0</v>
      </c>
      <c r="F5271" s="129">
        <f t="shared" si="467"/>
        <v>4</v>
      </c>
    </row>
    <row r="5272" spans="1:6" ht="15.75" thickBot="1" x14ac:dyDescent="0.3">
      <c r="A5272" s="140" t="s">
        <v>26</v>
      </c>
      <c r="B5272" s="145">
        <v>44112</v>
      </c>
      <c r="C5272" s="4">
        <v>409</v>
      </c>
      <c r="D5272" s="29">
        <f>C5272+D5248</f>
        <v>11099</v>
      </c>
      <c r="E5272" s="4">
        <v>1</v>
      </c>
      <c r="F5272" s="129">
        <f t="shared" si="467"/>
        <v>125</v>
      </c>
    </row>
    <row r="5273" spans="1:6" ht="15.75" thickBot="1" x14ac:dyDescent="0.3">
      <c r="A5273" s="140" t="s">
        <v>25</v>
      </c>
      <c r="B5273" s="145">
        <v>44112</v>
      </c>
      <c r="C5273" s="4">
        <v>356</v>
      </c>
      <c r="D5273" s="29">
        <f>C5273+D5249</f>
        <v>15347</v>
      </c>
      <c r="E5273" s="4">
        <v>7</v>
      </c>
      <c r="F5273" s="129">
        <f t="shared" si="467"/>
        <v>344</v>
      </c>
    </row>
    <row r="5274" spans="1:6" ht="15.75" thickBot="1" x14ac:dyDescent="0.3">
      <c r="A5274" s="140" t="s">
        <v>41</v>
      </c>
      <c r="B5274" s="145">
        <v>44112</v>
      </c>
      <c r="C5274" s="4">
        <v>265</v>
      </c>
      <c r="D5274" s="29">
        <f>C5274+D5250</f>
        <v>14516</v>
      </c>
      <c r="E5274" s="4">
        <v>11</v>
      </c>
      <c r="F5274" s="129">
        <f>E5274+F5250</f>
        <v>464</v>
      </c>
    </row>
    <row r="5275" spans="1:6" ht="15.75" thickBot="1" x14ac:dyDescent="0.3">
      <c r="A5275" s="140" t="s">
        <v>42</v>
      </c>
      <c r="B5275" s="145">
        <v>44112</v>
      </c>
      <c r="C5275" s="4">
        <v>112</v>
      </c>
      <c r="D5275" s="29">
        <f t="shared" ref="D5275:D5281" si="468">C5275+D5251</f>
        <v>1105</v>
      </c>
      <c r="F5275" s="129">
        <f>E5275+F5251</f>
        <v>42</v>
      </c>
    </row>
    <row r="5276" spans="1:6" ht="15.75" thickBot="1" x14ac:dyDescent="0.3">
      <c r="A5276" s="140" t="s">
        <v>43</v>
      </c>
      <c r="B5276" s="145">
        <v>44112</v>
      </c>
      <c r="C5276" s="4">
        <v>112</v>
      </c>
      <c r="D5276" s="29">
        <f t="shared" si="468"/>
        <v>2102</v>
      </c>
      <c r="E5276" s="4">
        <v>2</v>
      </c>
      <c r="F5276" s="129">
        <f t="shared" si="467"/>
        <v>33</v>
      </c>
    </row>
    <row r="5277" spans="1:6" ht="15.75" thickBot="1" x14ac:dyDescent="0.3">
      <c r="A5277" s="140" t="s">
        <v>44</v>
      </c>
      <c r="B5277" s="145">
        <v>44112</v>
      </c>
      <c r="C5277" s="4">
        <v>89</v>
      </c>
      <c r="D5277" s="29">
        <f t="shared" si="468"/>
        <v>5869</v>
      </c>
      <c r="E5277" s="4">
        <v>2</v>
      </c>
      <c r="F5277" s="129">
        <f>E5277+F5253</f>
        <v>76</v>
      </c>
    </row>
    <row r="5278" spans="1:6" ht="15.75" thickBot="1" x14ac:dyDescent="0.3">
      <c r="A5278" s="140" t="s">
        <v>29</v>
      </c>
      <c r="B5278" s="145">
        <v>44112</v>
      </c>
      <c r="C5278" s="4">
        <v>2099</v>
      </c>
      <c r="D5278" s="29">
        <f t="shared" si="468"/>
        <v>57131</v>
      </c>
      <c r="E5278" s="4">
        <v>31</v>
      </c>
      <c r="F5278" s="129">
        <f>E5278+F5254</f>
        <v>620</v>
      </c>
    </row>
    <row r="5279" spans="1:6" ht="15.75" thickBot="1" x14ac:dyDescent="0.3">
      <c r="A5279" s="140" t="s">
        <v>45</v>
      </c>
      <c r="B5279" s="145">
        <v>44112</v>
      </c>
      <c r="C5279" s="4">
        <v>40</v>
      </c>
      <c r="D5279" s="29">
        <f t="shared" si="468"/>
        <v>4268</v>
      </c>
      <c r="E5279" s="4">
        <v>1</v>
      </c>
      <c r="F5279" s="129">
        <f t="shared" si="467"/>
        <v>79</v>
      </c>
    </row>
    <row r="5280" spans="1:6" ht="15.75" thickBot="1" x14ac:dyDescent="0.3">
      <c r="A5280" s="140" t="s">
        <v>46</v>
      </c>
      <c r="B5280" s="145">
        <v>44112</v>
      </c>
      <c r="C5280" s="4">
        <v>168</v>
      </c>
      <c r="D5280" s="29">
        <f t="shared" si="468"/>
        <v>5804</v>
      </c>
      <c r="E5280" s="4">
        <v>1</v>
      </c>
      <c r="F5280" s="129">
        <f t="shared" ref="F5280:F5291" si="469">E5280+F5256</f>
        <v>82</v>
      </c>
    </row>
    <row r="5281" spans="1:6" ht="15.75" thickBot="1" x14ac:dyDescent="0.3">
      <c r="A5281" s="141" t="s">
        <v>47</v>
      </c>
      <c r="B5281" s="145">
        <v>44112</v>
      </c>
      <c r="C5281" s="4">
        <v>1859</v>
      </c>
      <c r="D5281" s="132">
        <f t="shared" si="468"/>
        <v>23236</v>
      </c>
      <c r="E5281" s="4">
        <v>84</v>
      </c>
      <c r="F5281" s="130">
        <f t="shared" si="469"/>
        <v>260</v>
      </c>
    </row>
    <row r="5282" spans="1:6" ht="15.75" thickBot="1" x14ac:dyDescent="0.3">
      <c r="A5282" s="64" t="s">
        <v>22</v>
      </c>
      <c r="B5282" s="145">
        <v>44113</v>
      </c>
      <c r="C5282" s="4">
        <v>5346</v>
      </c>
      <c r="D5282" s="131">
        <f>C5282+D5258</f>
        <v>461816</v>
      </c>
      <c r="E5282" s="4">
        <f>134+105</f>
        <v>239</v>
      </c>
      <c r="F5282" s="128">
        <f t="shared" si="469"/>
        <v>14491</v>
      </c>
    </row>
    <row r="5283" spans="1:6" ht="15.75" thickBot="1" x14ac:dyDescent="0.3">
      <c r="A5283" s="140" t="s">
        <v>20</v>
      </c>
      <c r="B5283" s="145">
        <v>44113</v>
      </c>
      <c r="C5283" s="4">
        <v>874</v>
      </c>
      <c r="D5283" s="29">
        <f t="shared" ref="D5283:D5295" si="470">C5283+D5259</f>
        <v>133608</v>
      </c>
      <c r="E5283" s="4">
        <f>22+16</f>
        <v>38</v>
      </c>
      <c r="F5283" s="129">
        <f t="shared" si="469"/>
        <v>3809</v>
      </c>
    </row>
    <row r="5284" spans="1:6" ht="15.75" thickBot="1" x14ac:dyDescent="0.3">
      <c r="A5284" s="140" t="s">
        <v>35</v>
      </c>
      <c r="B5284" s="145">
        <v>44113</v>
      </c>
      <c r="C5284" s="4">
        <v>7</v>
      </c>
      <c r="D5284" s="29">
        <f t="shared" si="470"/>
        <v>360</v>
      </c>
      <c r="F5284" s="129">
        <f t="shared" si="469"/>
        <v>0</v>
      </c>
    </row>
    <row r="5285" spans="1:6" ht="15.75" thickBot="1" x14ac:dyDescent="0.3">
      <c r="A5285" s="140" t="s">
        <v>21</v>
      </c>
      <c r="B5285" s="145">
        <v>44113</v>
      </c>
      <c r="C5285" s="4">
        <v>177</v>
      </c>
      <c r="D5285" s="29">
        <f t="shared" si="470"/>
        <v>10026</v>
      </c>
      <c r="E5285" s="4">
        <f>8+4</f>
        <v>12</v>
      </c>
      <c r="F5285" s="129">
        <f t="shared" si="469"/>
        <v>329</v>
      </c>
    </row>
    <row r="5286" spans="1:6" ht="15.75" thickBot="1" x14ac:dyDescent="0.3">
      <c r="A5286" s="140" t="s">
        <v>36</v>
      </c>
      <c r="B5286" s="145">
        <v>44113</v>
      </c>
      <c r="C5286" s="4">
        <v>205</v>
      </c>
      <c r="D5286" s="29">
        <f t="shared" si="470"/>
        <v>6141</v>
      </c>
      <c r="E5286" s="4">
        <f>6</f>
        <v>6</v>
      </c>
      <c r="F5286" s="129">
        <f t="shared" si="469"/>
        <v>83</v>
      </c>
    </row>
    <row r="5287" spans="1:6" ht="15.75" thickBot="1" x14ac:dyDescent="0.3">
      <c r="A5287" s="140" t="s">
        <v>27</v>
      </c>
      <c r="B5287" s="145">
        <v>44113</v>
      </c>
      <c r="C5287" s="4">
        <v>1643</v>
      </c>
      <c r="D5287" s="29">
        <f t="shared" si="470"/>
        <v>48675</v>
      </c>
      <c r="E5287" s="4">
        <v>27</v>
      </c>
      <c r="F5287" s="129">
        <f t="shared" si="469"/>
        <v>569</v>
      </c>
    </row>
    <row r="5288" spans="1:6" ht="15.75" thickBot="1" x14ac:dyDescent="0.3">
      <c r="A5288" s="140" t="s">
        <v>37</v>
      </c>
      <c r="B5288" s="145">
        <v>44113</v>
      </c>
      <c r="C5288" s="4">
        <v>93</v>
      </c>
      <c r="D5288" s="29">
        <f t="shared" si="470"/>
        <v>1505</v>
      </c>
      <c r="F5288" s="129">
        <f t="shared" si="469"/>
        <v>31</v>
      </c>
    </row>
    <row r="5289" spans="1:6" ht="15.75" thickBot="1" x14ac:dyDescent="0.3">
      <c r="A5289" s="140" t="s">
        <v>38</v>
      </c>
      <c r="B5289" s="145">
        <v>44113</v>
      </c>
      <c r="C5289" s="4">
        <v>206</v>
      </c>
      <c r="D5289" s="29">
        <f t="shared" si="470"/>
        <v>9045</v>
      </c>
      <c r="E5289" s="4">
        <f>4</f>
        <v>4</v>
      </c>
      <c r="F5289" s="129">
        <f t="shared" si="469"/>
        <v>170</v>
      </c>
    </row>
    <row r="5290" spans="1:6" ht="15.75" thickBot="1" x14ac:dyDescent="0.3">
      <c r="A5290" s="140" t="s">
        <v>48</v>
      </c>
      <c r="B5290" s="145">
        <v>44113</v>
      </c>
      <c r="C5290" s="4">
        <v>10</v>
      </c>
      <c r="D5290" s="29">
        <f t="shared" si="470"/>
        <v>120</v>
      </c>
      <c r="F5290" s="129">
        <f t="shared" si="469"/>
        <v>1</v>
      </c>
    </row>
    <row r="5291" spans="1:6" ht="15.75" thickBot="1" x14ac:dyDescent="0.3">
      <c r="A5291" s="140" t="s">
        <v>39</v>
      </c>
      <c r="B5291" s="145">
        <v>44113</v>
      </c>
      <c r="C5291" s="4">
        <v>70</v>
      </c>
      <c r="D5291" s="29">
        <f t="shared" si="470"/>
        <v>16544</v>
      </c>
      <c r="F5291" s="129">
        <f t="shared" si="469"/>
        <v>627</v>
      </c>
    </row>
    <row r="5292" spans="1:6" ht="15.75" thickBot="1" x14ac:dyDescent="0.3">
      <c r="A5292" s="140" t="s">
        <v>40</v>
      </c>
      <c r="B5292" s="145">
        <v>44113</v>
      </c>
      <c r="C5292" s="4">
        <v>42</v>
      </c>
      <c r="D5292" s="29">
        <f t="shared" si="470"/>
        <v>996</v>
      </c>
      <c r="F5292" s="129">
        <f t="shared" ref="F5292:F5303" si="471">E5292+F5268</f>
        <v>12</v>
      </c>
    </row>
    <row r="5293" spans="1:6" ht="15.75" thickBot="1" x14ac:dyDescent="0.3">
      <c r="A5293" s="140" t="s">
        <v>28</v>
      </c>
      <c r="B5293" s="145">
        <v>44113</v>
      </c>
      <c r="C5293" s="4">
        <v>83</v>
      </c>
      <c r="D5293" s="29">
        <f t="shared" si="470"/>
        <v>5630</v>
      </c>
      <c r="E5293" s="4">
        <f>7+4</f>
        <v>11</v>
      </c>
      <c r="F5293" s="129">
        <f t="shared" si="471"/>
        <v>171</v>
      </c>
    </row>
    <row r="5294" spans="1:6" ht="15.75" thickBot="1" x14ac:dyDescent="0.3">
      <c r="A5294" s="140" t="s">
        <v>24</v>
      </c>
      <c r="B5294" s="145">
        <v>44113</v>
      </c>
      <c r="C5294" s="4">
        <v>858</v>
      </c>
      <c r="D5294" s="29">
        <f t="shared" si="470"/>
        <v>30891</v>
      </c>
      <c r="E5294" s="4">
        <f>10+8</f>
        <v>18</v>
      </c>
      <c r="F5294" s="129">
        <f t="shared" si="471"/>
        <v>426</v>
      </c>
    </row>
    <row r="5295" spans="1:6" ht="15.75" thickBot="1" x14ac:dyDescent="0.3">
      <c r="A5295" s="140" t="s">
        <v>30</v>
      </c>
      <c r="B5295" s="145">
        <v>44113</v>
      </c>
      <c r="C5295" s="4">
        <v>4</v>
      </c>
      <c r="D5295" s="29">
        <f t="shared" si="470"/>
        <v>144</v>
      </c>
      <c r="F5295" s="129">
        <f t="shared" si="471"/>
        <v>4</v>
      </c>
    </row>
    <row r="5296" spans="1:6" ht="15.75" thickBot="1" x14ac:dyDescent="0.3">
      <c r="A5296" s="140" t="s">
        <v>26</v>
      </c>
      <c r="B5296" s="145">
        <v>44113</v>
      </c>
      <c r="C5296" s="4">
        <v>287</v>
      </c>
      <c r="D5296" s="29">
        <f>C5296+D5272</f>
        <v>11386</v>
      </c>
      <c r="E5296" s="4">
        <f>25+17</f>
        <v>42</v>
      </c>
      <c r="F5296" s="129">
        <f t="shared" si="471"/>
        <v>167</v>
      </c>
    </row>
    <row r="5297" spans="1:6" ht="15.75" thickBot="1" x14ac:dyDescent="0.3">
      <c r="A5297" s="140" t="s">
        <v>25</v>
      </c>
      <c r="B5297" s="145">
        <v>44113</v>
      </c>
      <c r="C5297" s="4">
        <v>462</v>
      </c>
      <c r="D5297" s="29">
        <f>C5297+D5273</f>
        <v>15809</v>
      </c>
      <c r="E5297" s="4">
        <f>5+3</f>
        <v>8</v>
      </c>
      <c r="F5297" s="129">
        <f t="shared" si="471"/>
        <v>352</v>
      </c>
    </row>
    <row r="5298" spans="1:6" ht="15.75" thickBot="1" x14ac:dyDescent="0.3">
      <c r="A5298" s="140" t="s">
        <v>41</v>
      </c>
      <c r="B5298" s="145">
        <v>44113</v>
      </c>
      <c r="C5298" s="4">
        <v>267</v>
      </c>
      <c r="D5298" s="29">
        <f>C5298+D5274</f>
        <v>14783</v>
      </c>
      <c r="E5298" s="4">
        <f>8+6</f>
        <v>14</v>
      </c>
      <c r="F5298" s="129">
        <f>E5298+F5274</f>
        <v>478</v>
      </c>
    </row>
    <row r="5299" spans="1:6" ht="15.75" thickBot="1" x14ac:dyDescent="0.3">
      <c r="A5299" s="140" t="s">
        <v>42</v>
      </c>
      <c r="B5299" s="145">
        <v>44113</v>
      </c>
      <c r="C5299" s="4">
        <v>40</v>
      </c>
      <c r="D5299" s="29">
        <f t="shared" ref="D5299:D5305" si="472">C5299+D5275</f>
        <v>1145</v>
      </c>
      <c r="F5299" s="129">
        <f>E5299+F5275</f>
        <v>42</v>
      </c>
    </row>
    <row r="5300" spans="1:6" ht="15.75" thickBot="1" x14ac:dyDescent="0.3">
      <c r="A5300" s="140" t="s">
        <v>43</v>
      </c>
      <c r="B5300" s="145">
        <v>44113</v>
      </c>
      <c r="C5300" s="4">
        <v>86</v>
      </c>
      <c r="D5300" s="29">
        <f t="shared" si="472"/>
        <v>2188</v>
      </c>
      <c r="F5300" s="129">
        <f t="shared" si="471"/>
        <v>33</v>
      </c>
    </row>
    <row r="5301" spans="1:6" ht="15.75" thickBot="1" x14ac:dyDescent="0.3">
      <c r="A5301" s="140" t="s">
        <v>44</v>
      </c>
      <c r="B5301" s="145">
        <v>44113</v>
      </c>
      <c r="C5301" s="4">
        <v>172</v>
      </c>
      <c r="D5301" s="29">
        <f t="shared" si="472"/>
        <v>6041</v>
      </c>
      <c r="E5301" s="4">
        <f>1+3</f>
        <v>4</v>
      </c>
      <c r="F5301" s="129">
        <f>E5301+F5277</f>
        <v>80</v>
      </c>
    </row>
    <row r="5302" spans="1:6" ht="15.75" thickBot="1" x14ac:dyDescent="0.3">
      <c r="A5302" s="140" t="s">
        <v>29</v>
      </c>
      <c r="B5302" s="145">
        <v>44113</v>
      </c>
      <c r="C5302" s="4">
        <v>2179</v>
      </c>
      <c r="D5302" s="29">
        <f t="shared" si="472"/>
        <v>59310</v>
      </c>
      <c r="E5302" s="4">
        <f>10+11</f>
        <v>21</v>
      </c>
      <c r="F5302" s="129">
        <f>E5302+F5278</f>
        <v>641</v>
      </c>
    </row>
    <row r="5303" spans="1:6" ht="15.75" thickBot="1" x14ac:dyDescent="0.3">
      <c r="A5303" s="140" t="s">
        <v>45</v>
      </c>
      <c r="B5303" s="145">
        <v>44113</v>
      </c>
      <c r="C5303" s="4">
        <v>15</v>
      </c>
      <c r="D5303" s="29">
        <f t="shared" si="472"/>
        <v>4283</v>
      </c>
      <c r="E5303" s="4">
        <f>2+1</f>
        <v>3</v>
      </c>
      <c r="F5303" s="129">
        <f t="shared" si="471"/>
        <v>82</v>
      </c>
    </row>
    <row r="5304" spans="1:6" ht="15.75" thickBot="1" x14ac:dyDescent="0.3">
      <c r="A5304" s="140" t="s">
        <v>46</v>
      </c>
      <c r="B5304" s="145">
        <v>44113</v>
      </c>
      <c r="C5304" s="4">
        <v>249</v>
      </c>
      <c r="D5304" s="29">
        <f t="shared" si="472"/>
        <v>6053</v>
      </c>
      <c r="E5304" s="4">
        <f>2</f>
        <v>2</v>
      </c>
      <c r="F5304" s="129">
        <f t="shared" ref="F5304:F5315" si="473">E5304+F5280</f>
        <v>84</v>
      </c>
    </row>
    <row r="5305" spans="1:6" ht="15.75" thickBot="1" x14ac:dyDescent="0.3">
      <c r="A5305" s="141" t="s">
        <v>47</v>
      </c>
      <c r="B5305" s="145">
        <v>44113</v>
      </c>
      <c r="C5305" s="4">
        <v>1724</v>
      </c>
      <c r="D5305" s="132">
        <f t="shared" si="472"/>
        <v>24960</v>
      </c>
      <c r="E5305" s="4">
        <f>44+21</f>
        <v>65</v>
      </c>
      <c r="F5305" s="130">
        <f t="shared" si="473"/>
        <v>325</v>
      </c>
    </row>
    <row r="5306" spans="1:6" ht="15.75" thickBot="1" x14ac:dyDescent="0.3">
      <c r="A5306" s="64" t="s">
        <v>22</v>
      </c>
      <c r="B5306" s="145">
        <v>44114</v>
      </c>
      <c r="C5306" s="4">
        <v>4047</v>
      </c>
      <c r="D5306" s="131">
        <f>C5306+D5282</f>
        <v>465863</v>
      </c>
      <c r="E5306" s="4">
        <f>3+99+87</f>
        <v>189</v>
      </c>
      <c r="F5306" s="128">
        <f t="shared" si="473"/>
        <v>14680</v>
      </c>
    </row>
    <row r="5307" spans="1:6" ht="15.75" thickBot="1" x14ac:dyDescent="0.3">
      <c r="A5307" s="140" t="s">
        <v>20</v>
      </c>
      <c r="B5307" s="145">
        <v>44114</v>
      </c>
      <c r="C5307" s="4">
        <v>742</v>
      </c>
      <c r="D5307" s="29">
        <f t="shared" ref="D5307:D5319" si="474">C5307+D5283</f>
        <v>134350</v>
      </c>
      <c r="E5307" s="4">
        <f>2+43+28</f>
        <v>73</v>
      </c>
      <c r="F5307" s="129">
        <f t="shared" si="473"/>
        <v>3882</v>
      </c>
    </row>
    <row r="5308" spans="1:6" ht="15.75" thickBot="1" x14ac:dyDescent="0.3">
      <c r="A5308" s="140" t="s">
        <v>35</v>
      </c>
      <c r="B5308" s="145">
        <v>44114</v>
      </c>
      <c r="C5308" s="4">
        <v>10</v>
      </c>
      <c r="D5308" s="29">
        <f t="shared" si="474"/>
        <v>370</v>
      </c>
      <c r="F5308" s="129">
        <f t="shared" si="473"/>
        <v>0</v>
      </c>
    </row>
    <row r="5309" spans="1:6" ht="15.75" thickBot="1" x14ac:dyDescent="0.3">
      <c r="A5309" s="140" t="s">
        <v>21</v>
      </c>
      <c r="B5309" s="145">
        <v>44114</v>
      </c>
      <c r="C5309" s="4">
        <v>148</v>
      </c>
      <c r="D5309" s="29">
        <f t="shared" si="474"/>
        <v>10174</v>
      </c>
      <c r="E5309" s="4">
        <f>1</f>
        <v>1</v>
      </c>
      <c r="F5309" s="129">
        <f t="shared" si="473"/>
        <v>330</v>
      </c>
    </row>
    <row r="5310" spans="1:6" ht="15.75" thickBot="1" x14ac:dyDescent="0.3">
      <c r="A5310" s="140" t="s">
        <v>36</v>
      </c>
      <c r="B5310" s="145">
        <v>44114</v>
      </c>
      <c r="C5310" s="4">
        <v>482</v>
      </c>
      <c r="D5310" s="29">
        <f t="shared" si="474"/>
        <v>6623</v>
      </c>
      <c r="E5310" s="4">
        <v>0</v>
      </c>
      <c r="F5310" s="129">
        <f t="shared" si="473"/>
        <v>83</v>
      </c>
    </row>
    <row r="5311" spans="1:6" ht="15.75" thickBot="1" x14ac:dyDescent="0.3">
      <c r="A5311" s="140" t="s">
        <v>27</v>
      </c>
      <c r="B5311" s="145">
        <v>44114</v>
      </c>
      <c r="C5311" s="4">
        <v>1606</v>
      </c>
      <c r="D5311" s="29">
        <f t="shared" si="474"/>
        <v>50281</v>
      </c>
      <c r="E5311" s="4">
        <v>27</v>
      </c>
      <c r="F5311" s="129">
        <f t="shared" si="473"/>
        <v>596</v>
      </c>
    </row>
    <row r="5312" spans="1:6" ht="15.75" thickBot="1" x14ac:dyDescent="0.3">
      <c r="A5312" s="140" t="s">
        <v>37</v>
      </c>
      <c r="B5312" s="145">
        <v>44114</v>
      </c>
      <c r="C5312" s="4">
        <v>2</v>
      </c>
      <c r="D5312" s="29">
        <f t="shared" si="474"/>
        <v>1507</v>
      </c>
      <c r="F5312" s="129">
        <f t="shared" si="473"/>
        <v>31</v>
      </c>
    </row>
    <row r="5313" spans="1:6" ht="15.75" thickBot="1" x14ac:dyDescent="0.3">
      <c r="A5313" s="140" t="s">
        <v>38</v>
      </c>
      <c r="B5313" s="145">
        <v>44114</v>
      </c>
      <c r="C5313" s="4">
        <v>188</v>
      </c>
      <c r="D5313" s="29">
        <f t="shared" si="474"/>
        <v>9233</v>
      </c>
      <c r="E5313" s="4">
        <f>1+1</f>
        <v>2</v>
      </c>
      <c r="F5313" s="129">
        <f t="shared" si="473"/>
        <v>172</v>
      </c>
    </row>
    <row r="5314" spans="1:6" ht="15.75" thickBot="1" x14ac:dyDescent="0.3">
      <c r="A5314" s="140" t="s">
        <v>48</v>
      </c>
      <c r="B5314" s="145">
        <v>44114</v>
      </c>
      <c r="C5314" s="4">
        <v>8</v>
      </c>
      <c r="D5314" s="29">
        <f t="shared" si="474"/>
        <v>128</v>
      </c>
      <c r="F5314" s="129">
        <f t="shared" si="473"/>
        <v>1</v>
      </c>
    </row>
    <row r="5315" spans="1:6" ht="15.75" thickBot="1" x14ac:dyDescent="0.3">
      <c r="A5315" s="140" t="s">
        <v>39</v>
      </c>
      <c r="B5315" s="145">
        <v>44114</v>
      </c>
      <c r="C5315" s="4">
        <v>128</v>
      </c>
      <c r="D5315" s="29">
        <f t="shared" si="474"/>
        <v>16672</v>
      </c>
      <c r="F5315" s="129">
        <f t="shared" si="473"/>
        <v>627</v>
      </c>
    </row>
    <row r="5316" spans="1:6" ht="15.75" thickBot="1" x14ac:dyDescent="0.3">
      <c r="A5316" s="140" t="s">
        <v>40</v>
      </c>
      <c r="B5316" s="145">
        <v>44114</v>
      </c>
      <c r="C5316" s="4">
        <v>44</v>
      </c>
      <c r="D5316" s="29">
        <f t="shared" si="474"/>
        <v>1040</v>
      </c>
      <c r="F5316" s="129">
        <f t="shared" ref="F5316:F5327" si="475">E5316+F5292</f>
        <v>12</v>
      </c>
    </row>
    <row r="5317" spans="1:6" ht="15.75" thickBot="1" x14ac:dyDescent="0.3">
      <c r="A5317" s="140" t="s">
        <v>28</v>
      </c>
      <c r="B5317" s="145">
        <v>44114</v>
      </c>
      <c r="C5317" s="4">
        <v>46</v>
      </c>
      <c r="D5317" s="29">
        <f t="shared" si="474"/>
        <v>5676</v>
      </c>
      <c r="E5317" s="4">
        <f>1</f>
        <v>1</v>
      </c>
      <c r="F5317" s="129">
        <f t="shared" si="475"/>
        <v>172</v>
      </c>
    </row>
    <row r="5318" spans="1:6" ht="15.75" thickBot="1" x14ac:dyDescent="0.3">
      <c r="A5318" s="140" t="s">
        <v>24</v>
      </c>
      <c r="B5318" s="145">
        <v>44114</v>
      </c>
      <c r="C5318" s="4">
        <v>573</v>
      </c>
      <c r="D5318" s="29">
        <f t="shared" si="474"/>
        <v>31464</v>
      </c>
      <c r="E5318" s="4">
        <f>3</f>
        <v>3</v>
      </c>
      <c r="F5318" s="129">
        <f t="shared" si="475"/>
        <v>429</v>
      </c>
    </row>
    <row r="5319" spans="1:6" ht="15.75" thickBot="1" x14ac:dyDescent="0.3">
      <c r="A5319" s="140" t="s">
        <v>30</v>
      </c>
      <c r="B5319" s="145">
        <v>44114</v>
      </c>
      <c r="C5319" s="4">
        <v>5</v>
      </c>
      <c r="D5319" s="29">
        <f t="shared" si="474"/>
        <v>149</v>
      </c>
      <c r="F5319" s="129">
        <f t="shared" si="475"/>
        <v>4</v>
      </c>
    </row>
    <row r="5320" spans="1:6" ht="15.75" thickBot="1" x14ac:dyDescent="0.3">
      <c r="A5320" s="140" t="s">
        <v>26</v>
      </c>
      <c r="B5320" s="145">
        <v>44114</v>
      </c>
      <c r="C5320" s="4">
        <v>433</v>
      </c>
      <c r="D5320" s="29">
        <f>C5320+D5296</f>
        <v>11819</v>
      </c>
      <c r="E5320" s="4">
        <f>13+4</f>
        <v>17</v>
      </c>
      <c r="F5320" s="129">
        <f t="shared" si="475"/>
        <v>184</v>
      </c>
    </row>
    <row r="5321" spans="1:6" ht="15.75" thickBot="1" x14ac:dyDescent="0.3">
      <c r="A5321" s="140" t="s">
        <v>25</v>
      </c>
      <c r="B5321" s="145">
        <v>44114</v>
      </c>
      <c r="C5321" s="4">
        <v>433</v>
      </c>
      <c r="D5321" s="29">
        <f>C5321+D5297</f>
        <v>16242</v>
      </c>
      <c r="E5321" s="4">
        <v>4</v>
      </c>
      <c r="F5321" s="129">
        <f t="shared" si="475"/>
        <v>356</v>
      </c>
    </row>
    <row r="5322" spans="1:6" ht="15.75" thickBot="1" x14ac:dyDescent="0.3">
      <c r="A5322" s="140" t="s">
        <v>41</v>
      </c>
      <c r="B5322" s="145">
        <v>44114</v>
      </c>
      <c r="C5322" s="4">
        <v>453</v>
      </c>
      <c r="D5322" s="29">
        <f>C5322+D5298</f>
        <v>15236</v>
      </c>
      <c r="E5322" s="4">
        <f>16+5</f>
        <v>21</v>
      </c>
      <c r="F5322" s="129">
        <f>E5322+F5298</f>
        <v>499</v>
      </c>
    </row>
    <row r="5323" spans="1:6" ht="15.75" thickBot="1" x14ac:dyDescent="0.3">
      <c r="A5323" s="140" t="s">
        <v>42</v>
      </c>
      <c r="B5323" s="145">
        <v>44114</v>
      </c>
      <c r="C5323" s="4">
        <v>1</v>
      </c>
      <c r="D5323" s="29">
        <f t="shared" ref="D5323:D5329" si="476">C5323+D5299</f>
        <v>1146</v>
      </c>
      <c r="F5323" s="129">
        <f>E5323+F5299</f>
        <v>42</v>
      </c>
    </row>
    <row r="5324" spans="1:6" ht="15.75" thickBot="1" x14ac:dyDescent="0.3">
      <c r="A5324" s="140" t="s">
        <v>43</v>
      </c>
      <c r="B5324" s="145">
        <v>44114</v>
      </c>
      <c r="C5324" s="4">
        <v>14</v>
      </c>
      <c r="D5324" s="29">
        <f t="shared" si="476"/>
        <v>2202</v>
      </c>
      <c r="F5324" s="129">
        <f t="shared" si="475"/>
        <v>33</v>
      </c>
    </row>
    <row r="5325" spans="1:6" ht="15.75" thickBot="1" x14ac:dyDescent="0.3">
      <c r="A5325" s="140" t="s">
        <v>44</v>
      </c>
      <c r="B5325" s="145">
        <v>44114</v>
      </c>
      <c r="C5325" s="4">
        <v>170</v>
      </c>
      <c r="D5325" s="29">
        <f t="shared" si="476"/>
        <v>6211</v>
      </c>
      <c r="E5325" s="4">
        <f>3</f>
        <v>3</v>
      </c>
      <c r="F5325" s="129">
        <f>E5325+F5301</f>
        <v>83</v>
      </c>
    </row>
    <row r="5326" spans="1:6" ht="15.75" thickBot="1" x14ac:dyDescent="0.3">
      <c r="A5326" s="140" t="s">
        <v>29</v>
      </c>
      <c r="B5326" s="145">
        <v>44114</v>
      </c>
      <c r="C5326" s="4">
        <v>2043</v>
      </c>
      <c r="D5326" s="29">
        <f t="shared" si="476"/>
        <v>61353</v>
      </c>
      <c r="E5326" s="4">
        <v>16</v>
      </c>
      <c r="F5326" s="129">
        <f>E5326+F5302</f>
        <v>657</v>
      </c>
    </row>
    <row r="5327" spans="1:6" ht="15.75" thickBot="1" x14ac:dyDescent="0.3">
      <c r="A5327" s="140" t="s">
        <v>45</v>
      </c>
      <c r="B5327" s="145">
        <v>44114</v>
      </c>
      <c r="C5327" s="4">
        <v>93</v>
      </c>
      <c r="D5327" s="29">
        <f t="shared" si="476"/>
        <v>4376</v>
      </c>
      <c r="F5327" s="129">
        <f t="shared" si="475"/>
        <v>82</v>
      </c>
    </row>
    <row r="5328" spans="1:6" ht="15.75" thickBot="1" x14ac:dyDescent="0.3">
      <c r="A5328" s="140" t="s">
        <v>46</v>
      </c>
      <c r="B5328" s="145">
        <v>44114</v>
      </c>
      <c r="C5328" s="4">
        <v>144</v>
      </c>
      <c r="D5328" s="29">
        <f t="shared" si="476"/>
        <v>6197</v>
      </c>
      <c r="F5328" s="129">
        <f t="shared" ref="F5328:F5339" si="477">E5328+F5304</f>
        <v>84</v>
      </c>
    </row>
    <row r="5329" spans="1:6" ht="15.75" thickBot="1" x14ac:dyDescent="0.3">
      <c r="A5329" s="141" t="s">
        <v>47</v>
      </c>
      <c r="B5329" s="145">
        <v>44114</v>
      </c>
      <c r="C5329" s="4">
        <v>802</v>
      </c>
      <c r="D5329" s="132">
        <f t="shared" si="476"/>
        <v>25762</v>
      </c>
      <c r="F5329" s="130">
        <f t="shared" si="477"/>
        <v>325</v>
      </c>
    </row>
    <row r="5330" spans="1:6" ht="15.75" thickBot="1" x14ac:dyDescent="0.3">
      <c r="A5330" s="64" t="s">
        <v>22</v>
      </c>
      <c r="B5330" s="145">
        <v>44115</v>
      </c>
      <c r="C5330" s="4">
        <v>2542</v>
      </c>
      <c r="D5330" s="131">
        <f>C5330+D5306</f>
        <v>468405</v>
      </c>
      <c r="E5330" s="4">
        <f>81+63+3</f>
        <v>147</v>
      </c>
      <c r="F5330" s="128">
        <f t="shared" si="477"/>
        <v>14827</v>
      </c>
    </row>
    <row r="5331" spans="1:6" ht="15.75" thickBot="1" x14ac:dyDescent="0.3">
      <c r="A5331" s="140" t="s">
        <v>20</v>
      </c>
      <c r="B5331" s="145">
        <v>44115</v>
      </c>
      <c r="C5331" s="4">
        <v>642</v>
      </c>
      <c r="D5331" s="29">
        <f t="shared" ref="D5331:D5343" si="478">C5331+D5307</f>
        <v>134992</v>
      </c>
      <c r="E5331" s="4">
        <f>8+12</f>
        <v>20</v>
      </c>
      <c r="F5331" s="129">
        <f t="shared" si="477"/>
        <v>3902</v>
      </c>
    </row>
    <row r="5332" spans="1:6" ht="15.75" thickBot="1" x14ac:dyDescent="0.3">
      <c r="A5332" s="140" t="s">
        <v>35</v>
      </c>
      <c r="B5332" s="145">
        <v>44115</v>
      </c>
      <c r="C5332" s="4">
        <v>6</v>
      </c>
      <c r="D5332" s="29">
        <f t="shared" si="478"/>
        <v>376</v>
      </c>
      <c r="F5332" s="129">
        <f t="shared" si="477"/>
        <v>0</v>
      </c>
    </row>
    <row r="5333" spans="1:6" ht="15.75" thickBot="1" x14ac:dyDescent="0.3">
      <c r="A5333" s="140" t="s">
        <v>21</v>
      </c>
      <c r="B5333" s="145">
        <v>44115</v>
      </c>
      <c r="C5333" s="4">
        <v>199</v>
      </c>
      <c r="D5333" s="29">
        <f t="shared" si="478"/>
        <v>10373</v>
      </c>
      <c r="E5333" s="4">
        <v>3</v>
      </c>
      <c r="F5333" s="129">
        <f t="shared" si="477"/>
        <v>333</v>
      </c>
    </row>
    <row r="5334" spans="1:6" ht="15.75" thickBot="1" x14ac:dyDescent="0.3">
      <c r="A5334" s="140" t="s">
        <v>36</v>
      </c>
      <c r="B5334" s="145">
        <v>44115</v>
      </c>
      <c r="C5334" s="4">
        <v>379</v>
      </c>
      <c r="D5334" s="29">
        <f t="shared" si="478"/>
        <v>7002</v>
      </c>
      <c r="F5334" s="129">
        <f t="shared" si="477"/>
        <v>83</v>
      </c>
    </row>
    <row r="5335" spans="1:6" ht="15.75" thickBot="1" x14ac:dyDescent="0.3">
      <c r="A5335" s="140" t="s">
        <v>27</v>
      </c>
      <c r="B5335" s="145">
        <v>44115</v>
      </c>
      <c r="C5335" s="4">
        <v>1536</v>
      </c>
      <c r="D5335" s="29">
        <f t="shared" si="478"/>
        <v>51817</v>
      </c>
      <c r="E5335" s="4">
        <f>13+18</f>
        <v>31</v>
      </c>
      <c r="F5335" s="129">
        <f t="shared" si="477"/>
        <v>627</v>
      </c>
    </row>
    <row r="5336" spans="1:6" ht="15.75" thickBot="1" x14ac:dyDescent="0.3">
      <c r="A5336" s="140" t="s">
        <v>37</v>
      </c>
      <c r="B5336" s="145">
        <v>44115</v>
      </c>
      <c r="C5336" s="4">
        <v>50</v>
      </c>
      <c r="D5336" s="29">
        <f t="shared" si="478"/>
        <v>1557</v>
      </c>
      <c r="F5336" s="129">
        <f t="shared" si="477"/>
        <v>31</v>
      </c>
    </row>
    <row r="5337" spans="1:6" ht="15.75" thickBot="1" x14ac:dyDescent="0.3">
      <c r="A5337" s="140" t="s">
        <v>38</v>
      </c>
      <c r="B5337" s="145">
        <v>44115</v>
      </c>
      <c r="C5337" s="4">
        <v>157</v>
      </c>
      <c r="D5337" s="29">
        <f t="shared" si="478"/>
        <v>9390</v>
      </c>
      <c r="E5337" s="4">
        <f>2+1</f>
        <v>3</v>
      </c>
      <c r="F5337" s="129">
        <f t="shared" si="477"/>
        <v>175</v>
      </c>
    </row>
    <row r="5338" spans="1:6" ht="15.75" thickBot="1" x14ac:dyDescent="0.3">
      <c r="A5338" s="140" t="s">
        <v>48</v>
      </c>
      <c r="B5338" s="145">
        <v>44115</v>
      </c>
      <c r="C5338" s="4">
        <v>0</v>
      </c>
      <c r="D5338" s="29">
        <f t="shared" si="478"/>
        <v>128</v>
      </c>
      <c r="F5338" s="129">
        <f t="shared" si="477"/>
        <v>1</v>
      </c>
    </row>
    <row r="5339" spans="1:6" ht="15.75" thickBot="1" x14ac:dyDescent="0.3">
      <c r="A5339" s="140" t="s">
        <v>39</v>
      </c>
      <c r="B5339" s="145">
        <v>44115</v>
      </c>
      <c r="C5339" s="4">
        <v>58</v>
      </c>
      <c r="D5339" s="29">
        <f t="shared" si="478"/>
        <v>16730</v>
      </c>
      <c r="E5339" s="4">
        <f>1</f>
        <v>1</v>
      </c>
      <c r="F5339" s="129">
        <f t="shared" si="477"/>
        <v>628</v>
      </c>
    </row>
    <row r="5340" spans="1:6" ht="15.75" thickBot="1" x14ac:dyDescent="0.3">
      <c r="A5340" s="140" t="s">
        <v>40</v>
      </c>
      <c r="B5340" s="145">
        <v>44115</v>
      </c>
      <c r="C5340" s="4">
        <v>30</v>
      </c>
      <c r="D5340" s="29">
        <f t="shared" si="478"/>
        <v>1070</v>
      </c>
      <c r="F5340" s="129">
        <f t="shared" ref="F5340:F5351" si="479">E5340+F5316</f>
        <v>12</v>
      </c>
    </row>
    <row r="5341" spans="1:6" ht="15.75" thickBot="1" x14ac:dyDescent="0.3">
      <c r="A5341" s="140" t="s">
        <v>28</v>
      </c>
      <c r="B5341" s="145">
        <v>44115</v>
      </c>
      <c r="C5341" s="4">
        <v>152</v>
      </c>
      <c r="D5341" s="29">
        <f t="shared" si="478"/>
        <v>5828</v>
      </c>
      <c r="E5341" s="4">
        <f>2+1</f>
        <v>3</v>
      </c>
      <c r="F5341" s="129">
        <f t="shared" si="479"/>
        <v>175</v>
      </c>
    </row>
    <row r="5342" spans="1:6" ht="15.75" thickBot="1" x14ac:dyDescent="0.3">
      <c r="A5342" s="140" t="s">
        <v>24</v>
      </c>
      <c r="B5342" s="145">
        <v>44115</v>
      </c>
      <c r="C5342" s="4">
        <v>571</v>
      </c>
      <c r="D5342" s="29">
        <f t="shared" si="478"/>
        <v>32035</v>
      </c>
      <c r="E5342" s="4">
        <f>4+2</f>
        <v>6</v>
      </c>
      <c r="F5342" s="129">
        <f t="shared" si="479"/>
        <v>435</v>
      </c>
    </row>
    <row r="5343" spans="1:6" ht="15.75" thickBot="1" x14ac:dyDescent="0.3">
      <c r="A5343" s="140" t="s">
        <v>30</v>
      </c>
      <c r="B5343" s="145">
        <v>44115</v>
      </c>
      <c r="C5343" s="4">
        <v>5</v>
      </c>
      <c r="D5343" s="29">
        <f t="shared" si="478"/>
        <v>154</v>
      </c>
      <c r="F5343" s="129">
        <f t="shared" si="479"/>
        <v>4</v>
      </c>
    </row>
    <row r="5344" spans="1:6" ht="15.75" thickBot="1" x14ac:dyDescent="0.3">
      <c r="A5344" s="140" t="s">
        <v>26</v>
      </c>
      <c r="B5344" s="145">
        <v>44115</v>
      </c>
      <c r="C5344" s="4">
        <v>306</v>
      </c>
      <c r="D5344" s="29">
        <f>C5344+D5320</f>
        <v>12125</v>
      </c>
      <c r="F5344" s="129">
        <f t="shared" si="479"/>
        <v>184</v>
      </c>
    </row>
    <row r="5345" spans="1:6" ht="15.75" thickBot="1" x14ac:dyDescent="0.3">
      <c r="A5345" s="140" t="s">
        <v>25</v>
      </c>
      <c r="B5345" s="145">
        <v>44115</v>
      </c>
      <c r="C5345" s="4">
        <v>252</v>
      </c>
      <c r="D5345" s="29">
        <f>C5345+D5321</f>
        <v>16494</v>
      </c>
      <c r="E5345" s="4">
        <f>4+4</f>
        <v>8</v>
      </c>
      <c r="F5345" s="129">
        <f t="shared" si="479"/>
        <v>364</v>
      </c>
    </row>
    <row r="5346" spans="1:6" ht="15.75" thickBot="1" x14ac:dyDescent="0.3">
      <c r="A5346" s="140" t="s">
        <v>41</v>
      </c>
      <c r="B5346" s="145">
        <v>44115</v>
      </c>
      <c r="C5346" s="4">
        <v>148</v>
      </c>
      <c r="D5346" s="29">
        <f>C5346+D5322</f>
        <v>15384</v>
      </c>
      <c r="E5346" s="4">
        <f>19+10</f>
        <v>29</v>
      </c>
      <c r="F5346" s="129">
        <f>E5346+F5322</f>
        <v>528</v>
      </c>
    </row>
    <row r="5347" spans="1:6" ht="15.75" thickBot="1" x14ac:dyDescent="0.3">
      <c r="A5347" s="140" t="s">
        <v>42</v>
      </c>
      <c r="B5347" s="145">
        <v>44115</v>
      </c>
      <c r="C5347" s="4">
        <v>58</v>
      </c>
      <c r="D5347" s="29">
        <f t="shared" ref="D5347:D5353" si="480">C5347+D5323</f>
        <v>1204</v>
      </c>
      <c r="F5347" s="129">
        <f>E5347+F5323</f>
        <v>42</v>
      </c>
    </row>
    <row r="5348" spans="1:6" ht="15.75" thickBot="1" x14ac:dyDescent="0.3">
      <c r="A5348" s="140" t="s">
        <v>43</v>
      </c>
      <c r="B5348" s="145">
        <v>44115</v>
      </c>
      <c r="C5348" s="4">
        <v>20</v>
      </c>
      <c r="D5348" s="29">
        <f t="shared" si="480"/>
        <v>2222</v>
      </c>
      <c r="F5348" s="129">
        <f t="shared" si="479"/>
        <v>33</v>
      </c>
    </row>
    <row r="5349" spans="1:6" ht="15.75" thickBot="1" x14ac:dyDescent="0.3">
      <c r="A5349" s="140" t="s">
        <v>44</v>
      </c>
      <c r="B5349" s="145">
        <v>44115</v>
      </c>
      <c r="C5349" s="4">
        <v>134</v>
      </c>
      <c r="D5349" s="29">
        <f t="shared" si="480"/>
        <v>6345</v>
      </c>
      <c r="E5349" s="4">
        <f>3</f>
        <v>3</v>
      </c>
      <c r="F5349" s="129">
        <f>E5349+F5325</f>
        <v>86</v>
      </c>
    </row>
    <row r="5350" spans="1:6" ht="15.75" thickBot="1" x14ac:dyDescent="0.3">
      <c r="A5350" s="140" t="s">
        <v>29</v>
      </c>
      <c r="B5350" s="145">
        <v>44115</v>
      </c>
      <c r="C5350" s="4">
        <v>1547</v>
      </c>
      <c r="D5350" s="29">
        <f t="shared" si="480"/>
        <v>62900</v>
      </c>
      <c r="E5350" s="4">
        <f>7+7</f>
        <v>14</v>
      </c>
      <c r="F5350" s="129">
        <f>E5350+F5326</f>
        <v>671</v>
      </c>
    </row>
    <row r="5351" spans="1:6" ht="15.75" thickBot="1" x14ac:dyDescent="0.3">
      <c r="A5351" s="140" t="s">
        <v>45</v>
      </c>
      <c r="B5351" s="145">
        <v>44115</v>
      </c>
      <c r="C5351" s="4">
        <v>450</v>
      </c>
      <c r="D5351" s="29">
        <f t="shared" si="480"/>
        <v>4826</v>
      </c>
      <c r="E5351" s="4">
        <f>1+1</f>
        <v>2</v>
      </c>
      <c r="F5351" s="129">
        <f t="shared" si="479"/>
        <v>84</v>
      </c>
    </row>
    <row r="5352" spans="1:6" ht="15.75" thickBot="1" x14ac:dyDescent="0.3">
      <c r="A5352" s="140" t="s">
        <v>46</v>
      </c>
      <c r="B5352" s="145">
        <v>44115</v>
      </c>
      <c r="C5352" s="4">
        <v>227</v>
      </c>
      <c r="D5352" s="29">
        <f t="shared" si="480"/>
        <v>6424</v>
      </c>
      <c r="F5352" s="129">
        <f t="shared" ref="F5352:F5363" si="481">E5352+F5328</f>
        <v>84</v>
      </c>
    </row>
    <row r="5353" spans="1:6" ht="15.75" thickBot="1" x14ac:dyDescent="0.3">
      <c r="A5353" s="141" t="s">
        <v>47</v>
      </c>
      <c r="B5353" s="145">
        <v>44115</v>
      </c>
      <c r="C5353" s="4">
        <v>855</v>
      </c>
      <c r="D5353" s="132">
        <f t="shared" si="480"/>
        <v>26617</v>
      </c>
      <c r="E5353" s="4">
        <f>10+7</f>
        <v>17</v>
      </c>
      <c r="F5353" s="130">
        <f t="shared" si="481"/>
        <v>342</v>
      </c>
    </row>
    <row r="5354" spans="1:6" ht="15.75" thickBot="1" x14ac:dyDescent="0.3">
      <c r="A5354" s="64" t="s">
        <v>22</v>
      </c>
      <c r="B5354" s="145">
        <v>44116</v>
      </c>
      <c r="C5354" s="4">
        <v>2221</v>
      </c>
      <c r="D5354" s="131">
        <f>C5354+D5330</f>
        <v>470626</v>
      </c>
      <c r="E5354" s="4">
        <f>1+69+61</f>
        <v>131</v>
      </c>
      <c r="F5354" s="128">
        <f t="shared" si="481"/>
        <v>14958</v>
      </c>
    </row>
    <row r="5355" spans="1:6" ht="15.75" thickBot="1" x14ac:dyDescent="0.3">
      <c r="A5355" s="140" t="s">
        <v>20</v>
      </c>
      <c r="B5355" s="145">
        <v>44116</v>
      </c>
      <c r="C5355" s="4">
        <v>499</v>
      </c>
      <c r="D5355" s="29">
        <f t="shared" ref="D5355:D5367" si="482">C5355+D5331</f>
        <v>135491</v>
      </c>
      <c r="E5355" s="4">
        <f>30+25</f>
        <v>55</v>
      </c>
      <c r="F5355" s="129">
        <f t="shared" si="481"/>
        <v>3957</v>
      </c>
    </row>
    <row r="5356" spans="1:6" ht="15.75" thickBot="1" x14ac:dyDescent="0.3">
      <c r="A5356" s="140" t="s">
        <v>35</v>
      </c>
      <c r="B5356" s="145">
        <v>44116</v>
      </c>
      <c r="C5356" s="4">
        <v>14</v>
      </c>
      <c r="D5356" s="29">
        <f t="shared" si="482"/>
        <v>390</v>
      </c>
      <c r="F5356" s="129">
        <f t="shared" si="481"/>
        <v>0</v>
      </c>
    </row>
    <row r="5357" spans="1:6" ht="15.75" thickBot="1" x14ac:dyDescent="0.3">
      <c r="A5357" s="140" t="s">
        <v>21</v>
      </c>
      <c r="B5357" s="145">
        <v>44116</v>
      </c>
      <c r="C5357" s="4">
        <v>133</v>
      </c>
      <c r="D5357" s="29">
        <f t="shared" si="482"/>
        <v>10506</v>
      </c>
      <c r="F5357" s="129">
        <f t="shared" si="481"/>
        <v>333</v>
      </c>
    </row>
    <row r="5358" spans="1:6" ht="15.75" thickBot="1" x14ac:dyDescent="0.3">
      <c r="A5358" s="140" t="s">
        <v>36</v>
      </c>
      <c r="B5358" s="145">
        <v>44116</v>
      </c>
      <c r="C5358" s="4">
        <v>348</v>
      </c>
      <c r="D5358" s="29">
        <f t="shared" si="482"/>
        <v>7350</v>
      </c>
      <c r="E5358" s="4">
        <f>9+6</f>
        <v>15</v>
      </c>
      <c r="F5358" s="129">
        <f t="shared" si="481"/>
        <v>98</v>
      </c>
    </row>
    <row r="5359" spans="1:6" ht="15.75" thickBot="1" x14ac:dyDescent="0.3">
      <c r="A5359" s="140" t="s">
        <v>27</v>
      </c>
      <c r="B5359" s="145">
        <v>44116</v>
      </c>
      <c r="C5359" s="4">
        <v>1120</v>
      </c>
      <c r="D5359" s="29">
        <f t="shared" si="482"/>
        <v>52937</v>
      </c>
      <c r="E5359" s="4">
        <f>16+12</f>
        <v>28</v>
      </c>
      <c r="F5359" s="129">
        <f t="shared" si="481"/>
        <v>655</v>
      </c>
    </row>
    <row r="5360" spans="1:6" ht="15.75" thickBot="1" x14ac:dyDescent="0.3">
      <c r="A5360" s="140" t="s">
        <v>37</v>
      </c>
      <c r="B5360" s="145">
        <v>44116</v>
      </c>
      <c r="C5360" s="4">
        <v>77</v>
      </c>
      <c r="D5360" s="29">
        <f t="shared" si="482"/>
        <v>1634</v>
      </c>
      <c r="E5360" s="4">
        <v>0</v>
      </c>
      <c r="F5360" s="129">
        <f t="shared" si="481"/>
        <v>31</v>
      </c>
    </row>
    <row r="5361" spans="1:6" ht="15.75" thickBot="1" x14ac:dyDescent="0.3">
      <c r="A5361" s="140" t="s">
        <v>38</v>
      </c>
      <c r="B5361" s="145">
        <v>44116</v>
      </c>
      <c r="C5361" s="4">
        <v>176</v>
      </c>
      <c r="D5361" s="29">
        <f t="shared" si="482"/>
        <v>9566</v>
      </c>
      <c r="E5361" s="4">
        <f>6+7</f>
        <v>13</v>
      </c>
      <c r="F5361" s="129">
        <f t="shared" si="481"/>
        <v>188</v>
      </c>
    </row>
    <row r="5362" spans="1:6" ht="15.75" thickBot="1" x14ac:dyDescent="0.3">
      <c r="A5362" s="140" t="s">
        <v>48</v>
      </c>
      <c r="B5362" s="145">
        <v>44116</v>
      </c>
      <c r="C5362" s="4">
        <v>8</v>
      </c>
      <c r="D5362" s="29">
        <f t="shared" si="482"/>
        <v>136</v>
      </c>
      <c r="F5362" s="129">
        <f t="shared" si="481"/>
        <v>1</v>
      </c>
    </row>
    <row r="5363" spans="1:6" ht="15.75" thickBot="1" x14ac:dyDescent="0.3">
      <c r="A5363" s="140" t="s">
        <v>39</v>
      </c>
      <c r="B5363" s="145">
        <v>44116</v>
      </c>
      <c r="C5363" s="4">
        <v>76</v>
      </c>
      <c r="D5363" s="29">
        <f t="shared" si="482"/>
        <v>16806</v>
      </c>
      <c r="F5363" s="129">
        <f t="shared" si="481"/>
        <v>628</v>
      </c>
    </row>
    <row r="5364" spans="1:6" ht="15.75" thickBot="1" x14ac:dyDescent="0.3">
      <c r="A5364" s="140" t="s">
        <v>40</v>
      </c>
      <c r="B5364" s="145">
        <v>44116</v>
      </c>
      <c r="C5364" s="4">
        <v>57</v>
      </c>
      <c r="D5364" s="29">
        <f t="shared" si="482"/>
        <v>1127</v>
      </c>
      <c r="F5364" s="129">
        <f t="shared" ref="F5364:F5375" si="483">E5364+F5340</f>
        <v>12</v>
      </c>
    </row>
    <row r="5365" spans="1:6" ht="15.75" thickBot="1" x14ac:dyDescent="0.3">
      <c r="A5365" s="140" t="s">
        <v>28</v>
      </c>
      <c r="B5365" s="145">
        <v>44116</v>
      </c>
      <c r="C5365" s="4">
        <v>160</v>
      </c>
      <c r="D5365" s="29">
        <f t="shared" si="482"/>
        <v>5988</v>
      </c>
      <c r="E5365" s="4">
        <f>1</f>
        <v>1</v>
      </c>
      <c r="F5365" s="129">
        <f t="shared" si="483"/>
        <v>176</v>
      </c>
    </row>
    <row r="5366" spans="1:6" ht="15.75" thickBot="1" x14ac:dyDescent="0.3">
      <c r="A5366" s="140" t="s">
        <v>24</v>
      </c>
      <c r="B5366" s="145">
        <v>44116</v>
      </c>
      <c r="C5366" s="4">
        <v>364</v>
      </c>
      <c r="D5366" s="29">
        <f t="shared" si="482"/>
        <v>32399</v>
      </c>
      <c r="E5366" s="4">
        <f>1+1</f>
        <v>2</v>
      </c>
      <c r="F5366" s="129">
        <f t="shared" si="483"/>
        <v>437</v>
      </c>
    </row>
    <row r="5367" spans="1:6" ht="15.75" thickBot="1" x14ac:dyDescent="0.3">
      <c r="A5367" s="140" t="s">
        <v>30</v>
      </c>
      <c r="B5367" s="145">
        <v>44116</v>
      </c>
      <c r="C5367" s="4">
        <v>8</v>
      </c>
      <c r="D5367" s="29">
        <f t="shared" si="482"/>
        <v>162</v>
      </c>
      <c r="F5367" s="129">
        <f t="shared" si="483"/>
        <v>4</v>
      </c>
    </row>
    <row r="5368" spans="1:6" ht="15.75" thickBot="1" x14ac:dyDescent="0.3">
      <c r="A5368" s="140" t="s">
        <v>26</v>
      </c>
      <c r="B5368" s="145">
        <v>44116</v>
      </c>
      <c r="C5368" s="4">
        <v>264</v>
      </c>
      <c r="D5368" s="29">
        <f>C5368+D5344</f>
        <v>12389</v>
      </c>
      <c r="E5368" s="4">
        <f>1</f>
        <v>1</v>
      </c>
      <c r="F5368" s="129">
        <f t="shared" si="483"/>
        <v>185</v>
      </c>
    </row>
    <row r="5369" spans="1:6" ht="15.75" thickBot="1" x14ac:dyDescent="0.3">
      <c r="A5369" s="140" t="s">
        <v>25</v>
      </c>
      <c r="B5369" s="145">
        <v>44116</v>
      </c>
      <c r="C5369" s="4">
        <v>233</v>
      </c>
      <c r="D5369" s="29">
        <f>C5369+D5345</f>
        <v>16727</v>
      </c>
      <c r="E5369" s="4">
        <f>2+2</f>
        <v>4</v>
      </c>
      <c r="F5369" s="129">
        <f t="shared" si="483"/>
        <v>368</v>
      </c>
    </row>
    <row r="5370" spans="1:6" ht="15.75" thickBot="1" x14ac:dyDescent="0.3">
      <c r="A5370" s="140" t="s">
        <v>41</v>
      </c>
      <c r="B5370" s="145">
        <v>44116</v>
      </c>
      <c r="C5370" s="4">
        <v>84</v>
      </c>
      <c r="D5370" s="29">
        <f>C5370+D5346</f>
        <v>15468</v>
      </c>
      <c r="E5370" s="4">
        <f>7+1+4</f>
        <v>12</v>
      </c>
      <c r="F5370" s="129">
        <f>E5370+F5346</f>
        <v>540</v>
      </c>
    </row>
    <row r="5371" spans="1:6" ht="15.75" thickBot="1" x14ac:dyDescent="0.3">
      <c r="A5371" s="140" t="s">
        <v>42</v>
      </c>
      <c r="B5371" s="145">
        <v>44116</v>
      </c>
      <c r="C5371" s="4">
        <v>37</v>
      </c>
      <c r="D5371" s="29">
        <f t="shared" ref="D5371:D5377" si="484">C5371+D5347</f>
        <v>1241</v>
      </c>
      <c r="F5371" s="129">
        <f>E5371+F5347</f>
        <v>42</v>
      </c>
    </row>
    <row r="5372" spans="1:6" ht="15.75" thickBot="1" x14ac:dyDescent="0.3">
      <c r="A5372" s="140" t="s">
        <v>43</v>
      </c>
      <c r="B5372" s="145">
        <v>44116</v>
      </c>
      <c r="C5372" s="4">
        <v>68</v>
      </c>
      <c r="D5372" s="29">
        <f t="shared" si="484"/>
        <v>2290</v>
      </c>
      <c r="F5372" s="129">
        <f t="shared" si="483"/>
        <v>33</v>
      </c>
    </row>
    <row r="5373" spans="1:6" ht="15.75" thickBot="1" x14ac:dyDescent="0.3">
      <c r="A5373" s="140" t="s">
        <v>44</v>
      </c>
      <c r="B5373" s="145">
        <v>44116</v>
      </c>
      <c r="C5373" s="4">
        <v>103</v>
      </c>
      <c r="D5373" s="29">
        <f t="shared" si="484"/>
        <v>6448</v>
      </c>
      <c r="E5373" s="4">
        <f>1+1</f>
        <v>2</v>
      </c>
      <c r="F5373" s="129">
        <f>E5373+F5349</f>
        <v>88</v>
      </c>
    </row>
    <row r="5374" spans="1:6" ht="15.75" thickBot="1" x14ac:dyDescent="0.3">
      <c r="A5374" s="140" t="s">
        <v>29</v>
      </c>
      <c r="B5374" s="145">
        <v>44116</v>
      </c>
      <c r="C5374" s="4">
        <v>1711</v>
      </c>
      <c r="D5374" s="29">
        <f t="shared" si="484"/>
        <v>64611</v>
      </c>
      <c r="E5374" s="4">
        <f>7+4</f>
        <v>11</v>
      </c>
      <c r="F5374" s="129">
        <f>E5374+F5350</f>
        <v>682</v>
      </c>
    </row>
    <row r="5375" spans="1:6" ht="15.75" thickBot="1" x14ac:dyDescent="0.3">
      <c r="A5375" s="140" t="s">
        <v>45</v>
      </c>
      <c r="B5375" s="145">
        <v>44116</v>
      </c>
      <c r="C5375" s="4">
        <v>573</v>
      </c>
      <c r="D5375" s="29">
        <f t="shared" si="484"/>
        <v>5399</v>
      </c>
      <c r="E5375" s="4">
        <f>2</f>
        <v>2</v>
      </c>
      <c r="F5375" s="129">
        <f t="shared" si="483"/>
        <v>86</v>
      </c>
    </row>
    <row r="5376" spans="1:6" ht="15.75" thickBot="1" x14ac:dyDescent="0.3">
      <c r="A5376" s="140" t="s">
        <v>46</v>
      </c>
      <c r="B5376" s="145">
        <v>44116</v>
      </c>
      <c r="C5376" s="4">
        <v>268</v>
      </c>
      <c r="D5376" s="29">
        <f t="shared" si="484"/>
        <v>6692</v>
      </c>
      <c r="E5376" s="4">
        <f>1</f>
        <v>1</v>
      </c>
      <c r="F5376" s="129">
        <f t="shared" ref="F5376:F5387" si="485">E5376+F5352</f>
        <v>85</v>
      </c>
    </row>
    <row r="5377" spans="1:6" ht="15.75" thickBot="1" x14ac:dyDescent="0.3">
      <c r="A5377" s="142" t="s">
        <v>47</v>
      </c>
      <c r="B5377" s="138">
        <v>44116</v>
      </c>
      <c r="C5377" s="47">
        <v>922</v>
      </c>
      <c r="D5377" s="85">
        <f t="shared" si="484"/>
        <v>27539</v>
      </c>
      <c r="E5377" s="47">
        <f>21+19</f>
        <v>40</v>
      </c>
      <c r="F5377" s="139">
        <f t="shared" si="485"/>
        <v>382</v>
      </c>
    </row>
    <row r="5378" spans="1:6" x14ac:dyDescent="0.25">
      <c r="A5378" s="64" t="s">
        <v>22</v>
      </c>
      <c r="B5378" s="49">
        <v>44117</v>
      </c>
      <c r="C5378" s="50">
        <v>4666</v>
      </c>
      <c r="D5378" s="131">
        <f>C5378+D5354</f>
        <v>475292</v>
      </c>
      <c r="E5378" s="50">
        <v>170</v>
      </c>
      <c r="F5378" s="128">
        <f t="shared" si="485"/>
        <v>15128</v>
      </c>
    </row>
    <row r="5379" spans="1:6" x14ac:dyDescent="0.25">
      <c r="A5379" s="140" t="s">
        <v>20</v>
      </c>
      <c r="B5379" s="26">
        <v>44117</v>
      </c>
      <c r="C5379" s="4">
        <v>745</v>
      </c>
      <c r="D5379" s="29">
        <f t="shared" ref="D5379:D5391" si="486">C5379+D5355</f>
        <v>136236</v>
      </c>
      <c r="E5379" s="4">
        <v>49</v>
      </c>
      <c r="F5379" s="129">
        <f t="shared" si="485"/>
        <v>4006</v>
      </c>
    </row>
    <row r="5380" spans="1:6" x14ac:dyDescent="0.25">
      <c r="A5380" s="140" t="s">
        <v>35</v>
      </c>
      <c r="B5380" s="26">
        <v>44117</v>
      </c>
      <c r="C5380" s="4">
        <v>3</v>
      </c>
      <c r="D5380" s="29">
        <f t="shared" si="486"/>
        <v>393</v>
      </c>
      <c r="F5380" s="129">
        <f t="shared" si="485"/>
        <v>0</v>
      </c>
    </row>
    <row r="5381" spans="1:6" x14ac:dyDescent="0.25">
      <c r="A5381" s="140" t="s">
        <v>21</v>
      </c>
      <c r="B5381" s="26">
        <v>44117</v>
      </c>
      <c r="C5381" s="4">
        <v>172</v>
      </c>
      <c r="D5381" s="29">
        <f t="shared" si="486"/>
        <v>10678</v>
      </c>
      <c r="E5381" s="4">
        <v>10</v>
      </c>
      <c r="F5381" s="129">
        <f t="shared" si="485"/>
        <v>343</v>
      </c>
    </row>
    <row r="5382" spans="1:6" x14ac:dyDescent="0.25">
      <c r="A5382" s="140" t="s">
        <v>36</v>
      </c>
      <c r="B5382" s="26">
        <v>44117</v>
      </c>
      <c r="C5382" s="4">
        <v>438</v>
      </c>
      <c r="D5382" s="29">
        <f t="shared" si="486"/>
        <v>7788</v>
      </c>
      <c r="E5382" s="4">
        <v>4</v>
      </c>
      <c r="F5382" s="129">
        <f t="shared" si="485"/>
        <v>102</v>
      </c>
    </row>
    <row r="5383" spans="1:6" x14ac:dyDescent="0.25">
      <c r="A5383" s="140" t="s">
        <v>27</v>
      </c>
      <c r="B5383" s="26">
        <v>44117</v>
      </c>
      <c r="C5383" s="4">
        <v>1158</v>
      </c>
      <c r="D5383" s="29">
        <f t="shared" si="486"/>
        <v>54095</v>
      </c>
      <c r="E5383" s="4">
        <v>35</v>
      </c>
      <c r="F5383" s="129">
        <f t="shared" si="485"/>
        <v>690</v>
      </c>
    </row>
    <row r="5384" spans="1:6" x14ac:dyDescent="0.25">
      <c r="A5384" s="140" t="s">
        <v>37</v>
      </c>
      <c r="B5384" s="26">
        <v>44117</v>
      </c>
      <c r="C5384" s="4">
        <v>114</v>
      </c>
      <c r="D5384" s="29">
        <f t="shared" si="486"/>
        <v>1748</v>
      </c>
      <c r="E5384" s="4">
        <v>1</v>
      </c>
      <c r="F5384" s="129">
        <f t="shared" si="485"/>
        <v>32</v>
      </c>
    </row>
    <row r="5385" spans="1:6" x14ac:dyDescent="0.25">
      <c r="A5385" s="140" t="s">
        <v>38</v>
      </c>
      <c r="B5385" s="26">
        <v>44117</v>
      </c>
      <c r="C5385" s="4">
        <v>257</v>
      </c>
      <c r="D5385" s="29">
        <f t="shared" si="486"/>
        <v>9823</v>
      </c>
      <c r="E5385" s="4">
        <v>5</v>
      </c>
      <c r="F5385" s="129">
        <f t="shared" si="485"/>
        <v>193</v>
      </c>
    </row>
    <row r="5386" spans="1:6" x14ac:dyDescent="0.25">
      <c r="A5386" s="140" t="s">
        <v>48</v>
      </c>
      <c r="B5386" s="26">
        <v>44117</v>
      </c>
      <c r="C5386" s="4">
        <v>3</v>
      </c>
      <c r="D5386" s="29">
        <f t="shared" si="486"/>
        <v>139</v>
      </c>
      <c r="F5386" s="129">
        <f t="shared" si="485"/>
        <v>1</v>
      </c>
    </row>
    <row r="5387" spans="1:6" x14ac:dyDescent="0.25">
      <c r="A5387" s="140" t="s">
        <v>39</v>
      </c>
      <c r="B5387" s="26">
        <v>44117</v>
      </c>
      <c r="C5387" s="4">
        <v>36</v>
      </c>
      <c r="D5387" s="29">
        <f t="shared" si="486"/>
        <v>16842</v>
      </c>
      <c r="E5387" s="4">
        <v>2</v>
      </c>
      <c r="F5387" s="129">
        <f t="shared" si="485"/>
        <v>630</v>
      </c>
    </row>
    <row r="5388" spans="1:6" x14ac:dyDescent="0.25">
      <c r="A5388" s="140" t="s">
        <v>40</v>
      </c>
      <c r="B5388" s="26">
        <v>44117</v>
      </c>
      <c r="C5388" s="4">
        <v>44</v>
      </c>
      <c r="D5388" s="29">
        <f t="shared" si="486"/>
        <v>1171</v>
      </c>
      <c r="E5388" s="4">
        <v>1</v>
      </c>
      <c r="F5388" s="129">
        <f t="shared" ref="F5388:F5399" si="487">E5388+F5364</f>
        <v>13</v>
      </c>
    </row>
    <row r="5389" spans="1:6" x14ac:dyDescent="0.25">
      <c r="A5389" s="140" t="s">
        <v>28</v>
      </c>
      <c r="B5389" s="26">
        <v>44117</v>
      </c>
      <c r="C5389" s="4">
        <v>43</v>
      </c>
      <c r="D5389" s="29">
        <f t="shared" si="486"/>
        <v>6031</v>
      </c>
      <c r="E5389" s="4">
        <v>6</v>
      </c>
      <c r="F5389" s="129">
        <f t="shared" si="487"/>
        <v>182</v>
      </c>
    </row>
    <row r="5390" spans="1:6" x14ac:dyDescent="0.25">
      <c r="A5390" s="140" t="s">
        <v>24</v>
      </c>
      <c r="B5390" s="26">
        <v>44117</v>
      </c>
      <c r="C5390" s="4">
        <v>653</v>
      </c>
      <c r="D5390" s="29">
        <f t="shared" si="486"/>
        <v>33052</v>
      </c>
      <c r="E5390" s="4">
        <v>7</v>
      </c>
      <c r="F5390" s="129">
        <f t="shared" si="487"/>
        <v>444</v>
      </c>
    </row>
    <row r="5391" spans="1:6" x14ac:dyDescent="0.25">
      <c r="A5391" s="140" t="s">
        <v>30</v>
      </c>
      <c r="B5391" s="26">
        <v>44117</v>
      </c>
      <c r="C5391" s="4">
        <v>24</v>
      </c>
      <c r="D5391" s="29">
        <f t="shared" si="486"/>
        <v>186</v>
      </c>
      <c r="F5391" s="129">
        <f t="shared" si="487"/>
        <v>4</v>
      </c>
    </row>
    <row r="5392" spans="1:6" x14ac:dyDescent="0.25">
      <c r="A5392" s="140" t="s">
        <v>26</v>
      </c>
      <c r="B5392" s="26">
        <v>44117</v>
      </c>
      <c r="C5392" s="4">
        <v>299</v>
      </c>
      <c r="D5392" s="29">
        <f>C5392+D5368</f>
        <v>12688</v>
      </c>
      <c r="E5392" s="4">
        <v>12</v>
      </c>
      <c r="F5392" s="129">
        <f t="shared" si="487"/>
        <v>197</v>
      </c>
    </row>
    <row r="5393" spans="1:6" x14ac:dyDescent="0.25">
      <c r="A5393" s="140" t="s">
        <v>25</v>
      </c>
      <c r="B5393" s="26">
        <v>44117</v>
      </c>
      <c r="C5393" s="4">
        <v>405</v>
      </c>
      <c r="D5393" s="29">
        <f>C5393+D5369</f>
        <v>17132</v>
      </c>
      <c r="E5393" s="4">
        <v>6</v>
      </c>
      <c r="F5393" s="129">
        <f t="shared" si="487"/>
        <v>374</v>
      </c>
    </row>
    <row r="5394" spans="1:6" x14ac:dyDescent="0.25">
      <c r="A5394" s="140" t="s">
        <v>41</v>
      </c>
      <c r="B5394" s="26">
        <v>44117</v>
      </c>
      <c r="C5394" s="4">
        <v>136</v>
      </c>
      <c r="D5394" s="29">
        <f>C5394+D5370</f>
        <v>15604</v>
      </c>
      <c r="E5394" s="4">
        <v>9</v>
      </c>
      <c r="F5394" s="129">
        <f>E5394+F5370</f>
        <v>549</v>
      </c>
    </row>
    <row r="5395" spans="1:6" x14ac:dyDescent="0.25">
      <c r="A5395" s="140" t="s">
        <v>42</v>
      </c>
      <c r="B5395" s="26">
        <v>44117</v>
      </c>
      <c r="C5395" s="4">
        <v>27</v>
      </c>
      <c r="D5395" s="29">
        <f t="shared" ref="D5395:D5401" si="488">C5395+D5371</f>
        <v>1268</v>
      </c>
      <c r="E5395" s="4">
        <v>9</v>
      </c>
      <c r="F5395" s="129">
        <f>E5395+F5371</f>
        <v>51</v>
      </c>
    </row>
    <row r="5396" spans="1:6" x14ac:dyDescent="0.25">
      <c r="A5396" s="140" t="s">
        <v>43</v>
      </c>
      <c r="B5396" s="26">
        <v>44117</v>
      </c>
      <c r="C5396" s="4">
        <v>126</v>
      </c>
      <c r="D5396" s="29">
        <f t="shared" si="488"/>
        <v>2416</v>
      </c>
      <c r="F5396" s="129">
        <f t="shared" si="487"/>
        <v>33</v>
      </c>
    </row>
    <row r="5397" spans="1:6" x14ac:dyDescent="0.25">
      <c r="A5397" s="140" t="s">
        <v>44</v>
      </c>
      <c r="B5397" s="26">
        <v>44117</v>
      </c>
      <c r="C5397" s="4">
        <v>66</v>
      </c>
      <c r="D5397" s="29">
        <f t="shared" si="488"/>
        <v>6514</v>
      </c>
      <c r="E5397" s="4">
        <v>3</v>
      </c>
      <c r="F5397" s="129">
        <f>E5397+F5373</f>
        <v>91</v>
      </c>
    </row>
    <row r="5398" spans="1:6" x14ac:dyDescent="0.25">
      <c r="A5398" s="140" t="s">
        <v>29</v>
      </c>
      <c r="B5398" s="26">
        <v>44117</v>
      </c>
      <c r="C5398" s="4">
        <v>2288</v>
      </c>
      <c r="D5398" s="29">
        <f t="shared" si="488"/>
        <v>66899</v>
      </c>
      <c r="E5398" s="4">
        <v>25</v>
      </c>
      <c r="F5398" s="129">
        <f>E5398+F5374</f>
        <v>707</v>
      </c>
    </row>
    <row r="5399" spans="1:6" x14ac:dyDescent="0.25">
      <c r="A5399" s="140" t="s">
        <v>45</v>
      </c>
      <c r="B5399" s="26">
        <v>44117</v>
      </c>
      <c r="C5399" s="4">
        <v>146</v>
      </c>
      <c r="D5399" s="29">
        <f t="shared" si="488"/>
        <v>5545</v>
      </c>
      <c r="E5399" s="4">
        <v>2</v>
      </c>
      <c r="F5399" s="129">
        <f t="shared" si="487"/>
        <v>88</v>
      </c>
    </row>
    <row r="5400" spans="1:6" x14ac:dyDescent="0.25">
      <c r="A5400" s="140" t="s">
        <v>46</v>
      </c>
      <c r="B5400" s="26">
        <v>44117</v>
      </c>
      <c r="C5400" s="4">
        <v>202</v>
      </c>
      <c r="D5400" s="29">
        <f t="shared" si="488"/>
        <v>6894</v>
      </c>
      <c r="E5400" s="4">
        <v>2</v>
      </c>
      <c r="F5400" s="129">
        <f t="shared" ref="F5400:F5411" si="489">E5400+F5376</f>
        <v>87</v>
      </c>
    </row>
    <row r="5401" spans="1:6" ht="15.75" thickBot="1" x14ac:dyDescent="0.3">
      <c r="A5401" s="141" t="s">
        <v>47</v>
      </c>
      <c r="B5401" s="53">
        <v>44117</v>
      </c>
      <c r="C5401" s="54">
        <v>1254</v>
      </c>
      <c r="D5401" s="132">
        <f t="shared" si="488"/>
        <v>28793</v>
      </c>
      <c r="E5401" s="54">
        <v>28</v>
      </c>
      <c r="F5401" s="130">
        <f t="shared" si="489"/>
        <v>410</v>
      </c>
    </row>
    <row r="5402" spans="1:6" ht="15.75" thickBot="1" x14ac:dyDescent="0.3">
      <c r="A5402" s="64" t="s">
        <v>22</v>
      </c>
      <c r="B5402" s="53">
        <v>44118</v>
      </c>
      <c r="C5402" s="48">
        <v>5175</v>
      </c>
      <c r="D5402" s="131">
        <f>C5402+D5378</f>
        <v>480467</v>
      </c>
      <c r="E5402" s="48">
        <f>1+87+76</f>
        <v>164</v>
      </c>
      <c r="F5402" s="128">
        <f t="shared" si="489"/>
        <v>15292</v>
      </c>
    </row>
    <row r="5403" spans="1:6" ht="15.75" thickBot="1" x14ac:dyDescent="0.3">
      <c r="A5403" s="140" t="s">
        <v>20</v>
      </c>
      <c r="B5403" s="53">
        <v>44118</v>
      </c>
      <c r="C5403" s="4">
        <v>825</v>
      </c>
      <c r="D5403" s="29">
        <f t="shared" ref="D5403:D5415" si="490">C5403+D5379</f>
        <v>137061</v>
      </c>
      <c r="E5403" s="4">
        <f>1+24+26</f>
        <v>51</v>
      </c>
      <c r="F5403" s="129">
        <f t="shared" si="489"/>
        <v>4057</v>
      </c>
    </row>
    <row r="5404" spans="1:6" ht="15.75" thickBot="1" x14ac:dyDescent="0.3">
      <c r="A5404" s="140" t="s">
        <v>35</v>
      </c>
      <c r="B5404" s="53">
        <v>44118</v>
      </c>
      <c r="C5404" s="4">
        <v>8</v>
      </c>
      <c r="D5404" s="29">
        <f t="shared" si="490"/>
        <v>401</v>
      </c>
      <c r="F5404" s="129">
        <f t="shared" si="489"/>
        <v>0</v>
      </c>
    </row>
    <row r="5405" spans="1:6" ht="15.75" thickBot="1" x14ac:dyDescent="0.3">
      <c r="A5405" s="140" t="s">
        <v>21</v>
      </c>
      <c r="B5405" s="53">
        <v>44118</v>
      </c>
      <c r="C5405" s="4">
        <v>192</v>
      </c>
      <c r="D5405" s="29">
        <f t="shared" si="490"/>
        <v>10870</v>
      </c>
      <c r="E5405" s="4">
        <f>1+1</f>
        <v>2</v>
      </c>
      <c r="F5405" s="129">
        <f t="shared" si="489"/>
        <v>345</v>
      </c>
    </row>
    <row r="5406" spans="1:6" ht="15.75" thickBot="1" x14ac:dyDescent="0.3">
      <c r="A5406" s="140" t="s">
        <v>36</v>
      </c>
      <c r="B5406" s="53">
        <v>44118</v>
      </c>
      <c r="C5406" s="4">
        <v>236</v>
      </c>
      <c r="D5406" s="29">
        <f t="shared" si="490"/>
        <v>8024</v>
      </c>
      <c r="F5406" s="129">
        <f t="shared" si="489"/>
        <v>102</v>
      </c>
    </row>
    <row r="5407" spans="1:6" ht="15.75" thickBot="1" x14ac:dyDescent="0.3">
      <c r="A5407" s="140" t="s">
        <v>27</v>
      </c>
      <c r="B5407" s="53">
        <v>44118</v>
      </c>
      <c r="C5407" s="4">
        <v>1606</v>
      </c>
      <c r="D5407" s="29">
        <f t="shared" si="490"/>
        <v>55701</v>
      </c>
      <c r="E5407" s="4">
        <f>15+13</f>
        <v>28</v>
      </c>
      <c r="F5407" s="129">
        <f t="shared" si="489"/>
        <v>718</v>
      </c>
    </row>
    <row r="5408" spans="1:6" ht="15.75" thickBot="1" x14ac:dyDescent="0.3">
      <c r="A5408" s="140" t="s">
        <v>37</v>
      </c>
      <c r="B5408" s="53">
        <v>44118</v>
      </c>
      <c r="C5408" s="4">
        <v>54</v>
      </c>
      <c r="D5408" s="29">
        <f t="shared" si="490"/>
        <v>1802</v>
      </c>
      <c r="F5408" s="129">
        <f t="shared" si="489"/>
        <v>32</v>
      </c>
    </row>
    <row r="5409" spans="1:6" ht="15.75" thickBot="1" x14ac:dyDescent="0.3">
      <c r="A5409" s="140" t="s">
        <v>38</v>
      </c>
      <c r="B5409" s="53">
        <v>44118</v>
      </c>
      <c r="C5409" s="4">
        <v>299</v>
      </c>
      <c r="D5409" s="29">
        <f t="shared" si="490"/>
        <v>10122</v>
      </c>
      <c r="E5409" s="4">
        <f>2+1</f>
        <v>3</v>
      </c>
      <c r="F5409" s="129">
        <f t="shared" si="489"/>
        <v>196</v>
      </c>
    </row>
    <row r="5410" spans="1:6" ht="15.75" thickBot="1" x14ac:dyDescent="0.3">
      <c r="A5410" s="140" t="s">
        <v>48</v>
      </c>
      <c r="B5410" s="53">
        <v>44118</v>
      </c>
      <c r="C5410" s="4">
        <v>1</v>
      </c>
      <c r="D5410" s="29">
        <f t="shared" si="490"/>
        <v>140</v>
      </c>
      <c r="F5410" s="129">
        <f t="shared" si="489"/>
        <v>1</v>
      </c>
    </row>
    <row r="5411" spans="1:6" ht="15.75" thickBot="1" x14ac:dyDescent="0.3">
      <c r="A5411" s="140" t="s">
        <v>39</v>
      </c>
      <c r="B5411" s="53">
        <v>44118</v>
      </c>
      <c r="C5411" s="4">
        <v>103</v>
      </c>
      <c r="D5411" s="29">
        <f t="shared" si="490"/>
        <v>16945</v>
      </c>
      <c r="F5411" s="129">
        <f t="shared" si="489"/>
        <v>630</v>
      </c>
    </row>
    <row r="5412" spans="1:6" ht="15.75" thickBot="1" x14ac:dyDescent="0.3">
      <c r="A5412" s="140" t="s">
        <v>40</v>
      </c>
      <c r="B5412" s="53">
        <v>44118</v>
      </c>
      <c r="C5412" s="4">
        <v>101</v>
      </c>
      <c r="D5412" s="29">
        <f t="shared" si="490"/>
        <v>1272</v>
      </c>
      <c r="E5412" s="4">
        <f>2+1</f>
        <v>3</v>
      </c>
      <c r="F5412" s="129">
        <f t="shared" ref="F5412:F5423" si="491">E5412+F5388</f>
        <v>16</v>
      </c>
    </row>
    <row r="5413" spans="1:6" ht="15.75" thickBot="1" x14ac:dyDescent="0.3">
      <c r="A5413" s="140" t="s">
        <v>28</v>
      </c>
      <c r="B5413" s="53">
        <v>44118</v>
      </c>
      <c r="C5413" s="4">
        <v>87</v>
      </c>
      <c r="D5413" s="29">
        <f t="shared" si="490"/>
        <v>6118</v>
      </c>
      <c r="E5413" s="4">
        <f>4</f>
        <v>4</v>
      </c>
      <c r="F5413" s="129">
        <f t="shared" si="491"/>
        <v>186</v>
      </c>
    </row>
    <row r="5414" spans="1:6" ht="15.75" thickBot="1" x14ac:dyDescent="0.3">
      <c r="A5414" s="140" t="s">
        <v>24</v>
      </c>
      <c r="B5414" s="53">
        <v>44118</v>
      </c>
      <c r="C5414" s="4">
        <v>925</v>
      </c>
      <c r="D5414" s="29">
        <f t="shared" si="490"/>
        <v>33977</v>
      </c>
      <c r="E5414" s="4">
        <f>6+3</f>
        <v>9</v>
      </c>
      <c r="F5414" s="129">
        <f t="shared" si="491"/>
        <v>453</v>
      </c>
    </row>
    <row r="5415" spans="1:6" ht="15.75" thickBot="1" x14ac:dyDescent="0.3">
      <c r="A5415" s="140" t="s">
        <v>30</v>
      </c>
      <c r="B5415" s="53">
        <v>44118</v>
      </c>
      <c r="C5415" s="4">
        <v>3</v>
      </c>
      <c r="D5415" s="29">
        <f t="shared" si="490"/>
        <v>189</v>
      </c>
      <c r="F5415" s="129">
        <f t="shared" si="491"/>
        <v>4</v>
      </c>
    </row>
    <row r="5416" spans="1:6" ht="15.75" thickBot="1" x14ac:dyDescent="0.3">
      <c r="A5416" s="140" t="s">
        <v>26</v>
      </c>
      <c r="B5416" s="53">
        <v>44118</v>
      </c>
      <c r="C5416" s="4">
        <v>296</v>
      </c>
      <c r="D5416" s="29">
        <f>C5416+D5392</f>
        <v>12984</v>
      </c>
      <c r="E5416" s="4">
        <f>5+3</f>
        <v>8</v>
      </c>
      <c r="F5416" s="129">
        <f t="shared" si="491"/>
        <v>205</v>
      </c>
    </row>
    <row r="5417" spans="1:6" ht="15.75" thickBot="1" x14ac:dyDescent="0.3">
      <c r="A5417" s="140" t="s">
        <v>25</v>
      </c>
      <c r="B5417" s="53">
        <v>44118</v>
      </c>
      <c r="C5417" s="4">
        <v>361</v>
      </c>
      <c r="D5417" s="29">
        <f>C5417+D5393</f>
        <v>17493</v>
      </c>
      <c r="E5417" s="4">
        <f>10+4</f>
        <v>14</v>
      </c>
      <c r="F5417" s="129">
        <f t="shared" si="491"/>
        <v>388</v>
      </c>
    </row>
    <row r="5418" spans="1:6" ht="15.75" thickBot="1" x14ac:dyDescent="0.3">
      <c r="A5418" s="140" t="s">
        <v>41</v>
      </c>
      <c r="B5418" s="53">
        <v>44118</v>
      </c>
      <c r="C5418" s="4">
        <v>150</v>
      </c>
      <c r="D5418" s="29">
        <f>C5418+D5394</f>
        <v>15754</v>
      </c>
      <c r="E5418" s="4">
        <f>6+3</f>
        <v>9</v>
      </c>
      <c r="F5418" s="129">
        <f>E5418+F5394</f>
        <v>558</v>
      </c>
    </row>
    <row r="5419" spans="1:6" ht="15.75" thickBot="1" x14ac:dyDescent="0.3">
      <c r="A5419" s="140" t="s">
        <v>42</v>
      </c>
      <c r="B5419" s="53">
        <v>44118</v>
      </c>
      <c r="C5419" s="4">
        <v>5</v>
      </c>
      <c r="D5419" s="29">
        <f t="shared" ref="D5419:D5425" si="492">C5419+D5395</f>
        <v>1273</v>
      </c>
      <c r="F5419" s="129">
        <f>E5419+F5395</f>
        <v>51</v>
      </c>
    </row>
    <row r="5420" spans="1:6" ht="15.75" thickBot="1" x14ac:dyDescent="0.3">
      <c r="A5420" s="140" t="s">
        <v>43</v>
      </c>
      <c r="B5420" s="53">
        <v>44118</v>
      </c>
      <c r="C5420" s="4">
        <v>151</v>
      </c>
      <c r="D5420" s="29">
        <f t="shared" si="492"/>
        <v>2567</v>
      </c>
      <c r="E5420" s="4">
        <f>1</f>
        <v>1</v>
      </c>
      <c r="F5420" s="129">
        <f t="shared" si="491"/>
        <v>34</v>
      </c>
    </row>
    <row r="5421" spans="1:6" ht="15.75" thickBot="1" x14ac:dyDescent="0.3">
      <c r="A5421" s="140" t="s">
        <v>44</v>
      </c>
      <c r="B5421" s="53">
        <v>44118</v>
      </c>
      <c r="C5421" s="4">
        <v>195</v>
      </c>
      <c r="D5421" s="29">
        <f t="shared" si="492"/>
        <v>6709</v>
      </c>
      <c r="E5421" s="4">
        <f>1</f>
        <v>1</v>
      </c>
      <c r="F5421" s="129">
        <f>E5421+F5397</f>
        <v>92</v>
      </c>
    </row>
    <row r="5422" spans="1:6" ht="15.75" thickBot="1" x14ac:dyDescent="0.3">
      <c r="A5422" s="140" t="s">
        <v>29</v>
      </c>
      <c r="B5422" s="53">
        <v>44118</v>
      </c>
      <c r="C5422" s="4">
        <v>2470</v>
      </c>
      <c r="D5422" s="29">
        <f t="shared" si="492"/>
        <v>69369</v>
      </c>
      <c r="E5422" s="4">
        <f>24+17</f>
        <v>41</v>
      </c>
      <c r="F5422" s="129">
        <f>E5422+F5398</f>
        <v>748</v>
      </c>
    </row>
    <row r="5423" spans="1:6" ht="15.75" thickBot="1" x14ac:dyDescent="0.3">
      <c r="A5423" s="140" t="s">
        <v>45</v>
      </c>
      <c r="B5423" s="53">
        <v>44118</v>
      </c>
      <c r="C5423" s="4">
        <v>153</v>
      </c>
      <c r="D5423" s="29">
        <f t="shared" si="492"/>
        <v>5698</v>
      </c>
      <c r="E5423" s="4">
        <f>2+2</f>
        <v>4</v>
      </c>
      <c r="F5423" s="129">
        <f t="shared" si="491"/>
        <v>92</v>
      </c>
    </row>
    <row r="5424" spans="1:6" ht="15.75" thickBot="1" x14ac:dyDescent="0.3">
      <c r="A5424" s="140" t="s">
        <v>46</v>
      </c>
      <c r="B5424" s="53">
        <v>44118</v>
      </c>
      <c r="C5424" s="4">
        <v>295</v>
      </c>
      <c r="D5424" s="29">
        <f t="shared" si="492"/>
        <v>7189</v>
      </c>
      <c r="E5424" s="4">
        <f>1+3</f>
        <v>4</v>
      </c>
      <c r="F5424" s="129">
        <f t="shared" ref="F5424:F5435" si="493">E5424+F5400</f>
        <v>91</v>
      </c>
    </row>
    <row r="5425" spans="1:6" ht="15.75" thickBot="1" x14ac:dyDescent="0.3">
      <c r="A5425" s="142" t="s">
        <v>47</v>
      </c>
      <c r="B5425" s="46">
        <v>44118</v>
      </c>
      <c r="C5425" s="47">
        <v>1241</v>
      </c>
      <c r="D5425" s="85">
        <f t="shared" si="492"/>
        <v>30034</v>
      </c>
      <c r="E5425" s="47">
        <f>4</f>
        <v>4</v>
      </c>
      <c r="F5425" s="139">
        <f t="shared" si="493"/>
        <v>414</v>
      </c>
    </row>
    <row r="5426" spans="1:6" x14ac:dyDescent="0.25">
      <c r="A5426" s="64" t="s">
        <v>22</v>
      </c>
      <c r="B5426" s="49">
        <v>44119</v>
      </c>
      <c r="C5426" s="50">
        <v>5756</v>
      </c>
      <c r="D5426" s="131">
        <f>C5426+D5402</f>
        <v>486223</v>
      </c>
      <c r="E5426" s="50">
        <v>192</v>
      </c>
      <c r="F5426" s="128">
        <f t="shared" si="493"/>
        <v>15484</v>
      </c>
    </row>
    <row r="5427" spans="1:6" x14ac:dyDescent="0.25">
      <c r="A5427" s="140" t="s">
        <v>20</v>
      </c>
      <c r="B5427" s="26">
        <v>44119</v>
      </c>
      <c r="C5427" s="4">
        <v>830</v>
      </c>
      <c r="D5427" s="29">
        <f t="shared" ref="D5427:D5439" si="494">C5427+D5403</f>
        <v>137891</v>
      </c>
      <c r="E5427" s="4">
        <v>59</v>
      </c>
      <c r="F5427" s="129">
        <f t="shared" si="493"/>
        <v>4116</v>
      </c>
    </row>
    <row r="5428" spans="1:6" x14ac:dyDescent="0.25">
      <c r="A5428" s="140" t="s">
        <v>35</v>
      </c>
      <c r="B5428" s="26">
        <v>44119</v>
      </c>
      <c r="C5428" s="4">
        <v>6</v>
      </c>
      <c r="D5428" s="29">
        <f t="shared" si="494"/>
        <v>407</v>
      </c>
      <c r="F5428" s="129">
        <f t="shared" si="493"/>
        <v>0</v>
      </c>
    </row>
    <row r="5429" spans="1:6" x14ac:dyDescent="0.25">
      <c r="A5429" s="140" t="s">
        <v>21</v>
      </c>
      <c r="B5429" s="26">
        <v>44119</v>
      </c>
      <c r="C5429" s="4">
        <v>197</v>
      </c>
      <c r="D5429" s="29">
        <f t="shared" si="494"/>
        <v>11067</v>
      </c>
      <c r="E5429" s="4">
        <v>5</v>
      </c>
      <c r="F5429" s="129">
        <f t="shared" si="493"/>
        <v>350</v>
      </c>
    </row>
    <row r="5430" spans="1:6" x14ac:dyDescent="0.25">
      <c r="A5430" s="140" t="s">
        <v>36</v>
      </c>
      <c r="B5430" s="26">
        <v>44119</v>
      </c>
      <c r="C5430" s="4">
        <v>245</v>
      </c>
      <c r="D5430" s="29">
        <f t="shared" si="494"/>
        <v>8269</v>
      </c>
      <c r="E5430" s="4">
        <v>9</v>
      </c>
      <c r="F5430" s="129">
        <f t="shared" si="493"/>
        <v>111</v>
      </c>
    </row>
    <row r="5431" spans="1:6" x14ac:dyDescent="0.25">
      <c r="A5431" s="140" t="s">
        <v>27</v>
      </c>
      <c r="B5431" s="26">
        <v>44119</v>
      </c>
      <c r="C5431" s="4">
        <v>2082</v>
      </c>
      <c r="D5431" s="29">
        <f t="shared" si="494"/>
        <v>57783</v>
      </c>
      <c r="E5431" s="4">
        <v>44</v>
      </c>
      <c r="F5431" s="129">
        <f t="shared" si="493"/>
        <v>762</v>
      </c>
    </row>
    <row r="5432" spans="1:6" x14ac:dyDescent="0.25">
      <c r="A5432" s="140" t="s">
        <v>37</v>
      </c>
      <c r="B5432" s="26">
        <v>44119</v>
      </c>
      <c r="C5432" s="4">
        <v>72</v>
      </c>
      <c r="D5432" s="29">
        <f t="shared" si="494"/>
        <v>1874</v>
      </c>
      <c r="F5432" s="129">
        <f t="shared" si="493"/>
        <v>32</v>
      </c>
    </row>
    <row r="5433" spans="1:6" x14ac:dyDescent="0.25">
      <c r="A5433" s="140" t="s">
        <v>38</v>
      </c>
      <c r="B5433" s="26">
        <v>44119</v>
      </c>
      <c r="C5433" s="4">
        <v>334</v>
      </c>
      <c r="D5433" s="29">
        <f t="shared" si="494"/>
        <v>10456</v>
      </c>
      <c r="E5433" s="4">
        <v>7</v>
      </c>
      <c r="F5433" s="129">
        <f t="shared" si="493"/>
        <v>203</v>
      </c>
    </row>
    <row r="5434" spans="1:6" x14ac:dyDescent="0.25">
      <c r="A5434" s="140" t="s">
        <v>48</v>
      </c>
      <c r="B5434" s="26">
        <v>44119</v>
      </c>
      <c r="C5434" s="4">
        <v>-2</v>
      </c>
      <c r="D5434" s="29">
        <f t="shared" si="494"/>
        <v>138</v>
      </c>
      <c r="F5434" s="129">
        <f t="shared" si="493"/>
        <v>1</v>
      </c>
    </row>
    <row r="5435" spans="1:6" x14ac:dyDescent="0.25">
      <c r="A5435" s="140" t="s">
        <v>39</v>
      </c>
      <c r="B5435" s="26">
        <v>44119</v>
      </c>
      <c r="C5435" s="4">
        <v>120</v>
      </c>
      <c r="D5435" s="29">
        <f t="shared" si="494"/>
        <v>17065</v>
      </c>
      <c r="E5435" s="4">
        <v>13</v>
      </c>
      <c r="F5435" s="129">
        <f t="shared" si="493"/>
        <v>643</v>
      </c>
    </row>
    <row r="5436" spans="1:6" x14ac:dyDescent="0.25">
      <c r="A5436" s="140" t="s">
        <v>40</v>
      </c>
      <c r="B5436" s="26">
        <v>44119</v>
      </c>
      <c r="C5436" s="4">
        <v>82</v>
      </c>
      <c r="D5436" s="29">
        <f t="shared" si="494"/>
        <v>1354</v>
      </c>
      <c r="F5436" s="129">
        <f t="shared" ref="F5436:F5447" si="495">E5436+F5412</f>
        <v>16</v>
      </c>
    </row>
    <row r="5437" spans="1:6" x14ac:dyDescent="0.25">
      <c r="A5437" s="140" t="s">
        <v>28</v>
      </c>
      <c r="B5437" s="26">
        <v>44119</v>
      </c>
      <c r="C5437" s="4">
        <v>107</v>
      </c>
      <c r="D5437" s="29">
        <f t="shared" si="494"/>
        <v>6225</v>
      </c>
      <c r="E5437" s="4">
        <v>5</v>
      </c>
      <c r="F5437" s="129">
        <f t="shared" si="495"/>
        <v>191</v>
      </c>
    </row>
    <row r="5438" spans="1:6" x14ac:dyDescent="0.25">
      <c r="A5438" s="140" t="s">
        <v>24</v>
      </c>
      <c r="B5438" s="26">
        <v>44119</v>
      </c>
      <c r="C5438" s="4">
        <v>1056</v>
      </c>
      <c r="D5438" s="29">
        <f t="shared" si="494"/>
        <v>35033</v>
      </c>
      <c r="E5438" s="4">
        <v>15</v>
      </c>
      <c r="F5438" s="129">
        <f t="shared" si="495"/>
        <v>468</v>
      </c>
    </row>
    <row r="5439" spans="1:6" x14ac:dyDescent="0.25">
      <c r="A5439" s="140" t="s">
        <v>30</v>
      </c>
      <c r="B5439" s="26">
        <v>44119</v>
      </c>
      <c r="C5439" s="4">
        <v>12</v>
      </c>
      <c r="D5439" s="29">
        <f t="shared" si="494"/>
        <v>201</v>
      </c>
      <c r="F5439" s="129">
        <f t="shared" si="495"/>
        <v>4</v>
      </c>
    </row>
    <row r="5440" spans="1:6" x14ac:dyDescent="0.25">
      <c r="A5440" s="140" t="s">
        <v>26</v>
      </c>
      <c r="B5440" s="26">
        <v>44119</v>
      </c>
      <c r="C5440" s="4">
        <v>424</v>
      </c>
      <c r="D5440" s="29">
        <f>C5440+D5416</f>
        <v>13408</v>
      </c>
      <c r="F5440" s="129">
        <f t="shared" si="495"/>
        <v>205</v>
      </c>
    </row>
    <row r="5441" spans="1:6" x14ac:dyDescent="0.25">
      <c r="A5441" s="140" t="s">
        <v>25</v>
      </c>
      <c r="B5441" s="26">
        <v>44119</v>
      </c>
      <c r="C5441" s="4">
        <v>532</v>
      </c>
      <c r="D5441" s="29">
        <f>C5441+D5417</f>
        <v>18025</v>
      </c>
      <c r="E5441" s="4">
        <v>11</v>
      </c>
      <c r="F5441" s="129">
        <f t="shared" si="495"/>
        <v>399</v>
      </c>
    </row>
    <row r="5442" spans="1:6" x14ac:dyDescent="0.25">
      <c r="A5442" s="140" t="s">
        <v>41</v>
      </c>
      <c r="B5442" s="26">
        <v>44119</v>
      </c>
      <c r="C5442" s="4">
        <v>257</v>
      </c>
      <c r="D5442" s="29">
        <f>C5442+D5418</f>
        <v>16011</v>
      </c>
      <c r="E5442" s="4">
        <v>12</v>
      </c>
      <c r="F5442" s="129">
        <f>E5442+F5418</f>
        <v>570</v>
      </c>
    </row>
    <row r="5443" spans="1:6" x14ac:dyDescent="0.25">
      <c r="A5443" s="140" t="s">
        <v>42</v>
      </c>
      <c r="B5443" s="26">
        <v>44119</v>
      </c>
      <c r="C5443" s="4">
        <v>3</v>
      </c>
      <c r="D5443" s="29">
        <f t="shared" ref="D5443:D5449" si="496">C5443+D5419</f>
        <v>1276</v>
      </c>
      <c r="F5443" s="129">
        <f>E5443+F5419</f>
        <v>51</v>
      </c>
    </row>
    <row r="5444" spans="1:6" x14ac:dyDescent="0.25">
      <c r="A5444" s="140" t="s">
        <v>43</v>
      </c>
      <c r="B5444" s="26">
        <v>44119</v>
      </c>
      <c r="C5444" s="4">
        <v>119</v>
      </c>
      <c r="D5444" s="29">
        <f t="shared" si="496"/>
        <v>2686</v>
      </c>
      <c r="F5444" s="129">
        <f t="shared" si="495"/>
        <v>34</v>
      </c>
    </row>
    <row r="5445" spans="1:6" x14ac:dyDescent="0.25">
      <c r="A5445" s="140" t="s">
        <v>44</v>
      </c>
      <c r="B5445" s="26">
        <v>44119</v>
      </c>
      <c r="C5445" s="4">
        <v>123</v>
      </c>
      <c r="D5445" s="29">
        <f t="shared" si="496"/>
        <v>6832</v>
      </c>
      <c r="E5445" s="4">
        <v>3</v>
      </c>
      <c r="F5445" s="129">
        <f>E5445+F5421</f>
        <v>95</v>
      </c>
    </row>
    <row r="5446" spans="1:6" x14ac:dyDescent="0.25">
      <c r="A5446" s="140" t="s">
        <v>29</v>
      </c>
      <c r="B5446" s="26">
        <v>44119</v>
      </c>
      <c r="C5446" s="4">
        <v>2659</v>
      </c>
      <c r="D5446" s="29">
        <f t="shared" si="496"/>
        <v>72028</v>
      </c>
      <c r="E5446" s="4">
        <v>44</v>
      </c>
      <c r="F5446" s="129">
        <f>E5446+F5422</f>
        <v>792</v>
      </c>
    </row>
    <row r="5447" spans="1:6" x14ac:dyDescent="0.25">
      <c r="A5447" s="140" t="s">
        <v>45</v>
      </c>
      <c r="B5447" s="26">
        <v>44119</v>
      </c>
      <c r="C5447" s="4">
        <v>275</v>
      </c>
      <c r="D5447" s="29">
        <f t="shared" si="496"/>
        <v>5973</v>
      </c>
      <c r="E5447" s="4">
        <v>-1</v>
      </c>
      <c r="F5447" s="129">
        <f t="shared" si="495"/>
        <v>91</v>
      </c>
    </row>
    <row r="5448" spans="1:6" x14ac:dyDescent="0.25">
      <c r="A5448" s="140" t="s">
        <v>46</v>
      </c>
      <c r="B5448" s="26">
        <v>44119</v>
      </c>
      <c r="C5448" s="4">
        <v>313</v>
      </c>
      <c r="D5448" s="29">
        <f t="shared" si="496"/>
        <v>7502</v>
      </c>
      <c r="F5448" s="129">
        <f>E5448+F5424</f>
        <v>91</v>
      </c>
    </row>
    <row r="5449" spans="1:6" ht="15.75" thickBot="1" x14ac:dyDescent="0.3">
      <c r="A5449" s="141" t="s">
        <v>47</v>
      </c>
      <c r="B5449" s="53">
        <v>44119</v>
      </c>
      <c r="C5449" s="54">
        <v>1494</v>
      </c>
      <c r="D5449" s="132">
        <f t="shared" si="496"/>
        <v>31528</v>
      </c>
      <c r="E5449" s="54">
        <v>2</v>
      </c>
      <c r="F5449" s="130">
        <f>E5449+F5425</f>
        <v>416</v>
      </c>
    </row>
    <row r="5450" spans="1:6" x14ac:dyDescent="0.25">
      <c r="A5450" s="64" t="s">
        <v>22</v>
      </c>
      <c r="B5450" s="136">
        <v>44120</v>
      </c>
      <c r="C5450" s="48">
        <v>5199</v>
      </c>
      <c r="D5450" s="131">
        <f>C5450+D5426</f>
        <v>491422</v>
      </c>
      <c r="E5450" s="48">
        <v>136</v>
      </c>
      <c r="F5450" s="128">
        <f t="shared" ref="F5450:F5471" si="497">E5450+F5426</f>
        <v>15620</v>
      </c>
    </row>
    <row r="5451" spans="1:6" x14ac:dyDescent="0.25">
      <c r="A5451" s="140" t="s">
        <v>20</v>
      </c>
      <c r="B5451" s="136">
        <v>44120</v>
      </c>
      <c r="C5451" s="4">
        <v>952</v>
      </c>
      <c r="D5451" s="29">
        <f t="shared" ref="D5451:D5463" si="498">C5451+D5427</f>
        <v>138843</v>
      </c>
      <c r="E5451" s="4">
        <v>46</v>
      </c>
      <c r="F5451" s="129">
        <f t="shared" si="497"/>
        <v>4162</v>
      </c>
    </row>
    <row r="5452" spans="1:6" x14ac:dyDescent="0.25">
      <c r="A5452" s="140" t="s">
        <v>35</v>
      </c>
      <c r="B5452" s="136">
        <v>44120</v>
      </c>
      <c r="C5452" s="4">
        <v>22</v>
      </c>
      <c r="D5452" s="29">
        <f t="shared" si="498"/>
        <v>429</v>
      </c>
      <c r="F5452" s="129">
        <f t="shared" si="497"/>
        <v>0</v>
      </c>
    </row>
    <row r="5453" spans="1:6" x14ac:dyDescent="0.25">
      <c r="A5453" s="140" t="s">
        <v>21</v>
      </c>
      <c r="B5453" s="136">
        <v>44120</v>
      </c>
      <c r="C5453" s="4">
        <v>197</v>
      </c>
      <c r="D5453" s="29">
        <f t="shared" si="498"/>
        <v>11264</v>
      </c>
      <c r="E5453" s="4">
        <v>3</v>
      </c>
      <c r="F5453" s="129">
        <f t="shared" si="497"/>
        <v>353</v>
      </c>
    </row>
    <row r="5454" spans="1:6" x14ac:dyDescent="0.25">
      <c r="A5454" s="140" t="s">
        <v>36</v>
      </c>
      <c r="B5454" s="136">
        <v>44120</v>
      </c>
      <c r="C5454" s="4">
        <v>288</v>
      </c>
      <c r="D5454" s="29">
        <f t="shared" si="498"/>
        <v>8557</v>
      </c>
      <c r="E5454" s="4">
        <v>2</v>
      </c>
      <c r="F5454" s="129">
        <f t="shared" si="497"/>
        <v>113</v>
      </c>
    </row>
    <row r="5455" spans="1:6" x14ac:dyDescent="0.25">
      <c r="A5455" s="140" t="s">
        <v>27</v>
      </c>
      <c r="B5455" s="136">
        <v>44120</v>
      </c>
      <c r="C5455" s="4">
        <v>2045</v>
      </c>
      <c r="D5455" s="29">
        <f t="shared" si="498"/>
        <v>59828</v>
      </c>
      <c r="E5455" s="4">
        <v>28</v>
      </c>
      <c r="F5455" s="129">
        <f t="shared" si="497"/>
        <v>790</v>
      </c>
    </row>
    <row r="5456" spans="1:6" x14ac:dyDescent="0.25">
      <c r="A5456" s="140" t="s">
        <v>37</v>
      </c>
      <c r="B5456" s="136">
        <v>44120</v>
      </c>
      <c r="C5456" s="4">
        <v>61</v>
      </c>
      <c r="D5456" s="29">
        <f t="shared" si="498"/>
        <v>1935</v>
      </c>
      <c r="F5456" s="129">
        <f t="shared" si="497"/>
        <v>32</v>
      </c>
    </row>
    <row r="5457" spans="1:6" x14ac:dyDescent="0.25">
      <c r="A5457" s="140" t="s">
        <v>38</v>
      </c>
      <c r="B5457" s="136">
        <v>44120</v>
      </c>
      <c r="C5457" s="4">
        <v>349</v>
      </c>
      <c r="D5457" s="29">
        <f t="shared" si="498"/>
        <v>10805</v>
      </c>
      <c r="E5457" s="4">
        <v>2</v>
      </c>
      <c r="F5457" s="129">
        <f t="shared" si="497"/>
        <v>205</v>
      </c>
    </row>
    <row r="5458" spans="1:6" x14ac:dyDescent="0.25">
      <c r="A5458" s="140" t="s">
        <v>48</v>
      </c>
      <c r="B5458" s="136">
        <v>44120</v>
      </c>
      <c r="C5458" s="4">
        <v>1</v>
      </c>
      <c r="D5458" s="29">
        <f t="shared" si="498"/>
        <v>139</v>
      </c>
      <c r="F5458" s="129">
        <f t="shared" si="497"/>
        <v>1</v>
      </c>
    </row>
    <row r="5459" spans="1:6" x14ac:dyDescent="0.25">
      <c r="A5459" s="140" t="s">
        <v>39</v>
      </c>
      <c r="B5459" s="136">
        <v>44120</v>
      </c>
      <c r="C5459" s="4">
        <v>55</v>
      </c>
      <c r="D5459" s="29">
        <f t="shared" si="498"/>
        <v>17120</v>
      </c>
      <c r="E5459" s="4">
        <v>12</v>
      </c>
      <c r="F5459" s="129">
        <f t="shared" si="497"/>
        <v>655</v>
      </c>
    </row>
    <row r="5460" spans="1:6" x14ac:dyDescent="0.25">
      <c r="A5460" s="140" t="s">
        <v>40</v>
      </c>
      <c r="B5460" s="136">
        <v>44120</v>
      </c>
      <c r="C5460" s="4">
        <v>82</v>
      </c>
      <c r="D5460" s="29">
        <f t="shared" si="498"/>
        <v>1436</v>
      </c>
      <c r="E5460" s="4">
        <v>1</v>
      </c>
      <c r="F5460" s="129">
        <f t="shared" si="497"/>
        <v>17</v>
      </c>
    </row>
    <row r="5461" spans="1:6" x14ac:dyDescent="0.25">
      <c r="A5461" s="140" t="s">
        <v>28</v>
      </c>
      <c r="B5461" s="136">
        <v>44120</v>
      </c>
      <c r="C5461" s="4">
        <v>98</v>
      </c>
      <c r="D5461" s="29">
        <f t="shared" si="498"/>
        <v>6323</v>
      </c>
      <c r="E5461" s="4">
        <v>11</v>
      </c>
      <c r="F5461" s="129">
        <f t="shared" si="497"/>
        <v>202</v>
      </c>
    </row>
    <row r="5462" spans="1:6" x14ac:dyDescent="0.25">
      <c r="A5462" s="140" t="s">
        <v>24</v>
      </c>
      <c r="B5462" s="136">
        <v>44120</v>
      </c>
      <c r="C5462" s="4">
        <v>897</v>
      </c>
      <c r="D5462" s="29">
        <f t="shared" si="498"/>
        <v>35930</v>
      </c>
      <c r="E5462" s="4">
        <v>30</v>
      </c>
      <c r="F5462" s="129">
        <f t="shared" si="497"/>
        <v>498</v>
      </c>
    </row>
    <row r="5463" spans="1:6" x14ac:dyDescent="0.25">
      <c r="A5463" s="140" t="s">
        <v>30</v>
      </c>
      <c r="B5463" s="136">
        <v>44120</v>
      </c>
      <c r="C5463" s="4">
        <v>-3</v>
      </c>
      <c r="D5463" s="29">
        <f t="shared" si="498"/>
        <v>198</v>
      </c>
      <c r="F5463" s="129">
        <f t="shared" si="497"/>
        <v>4</v>
      </c>
    </row>
    <row r="5464" spans="1:6" x14ac:dyDescent="0.25">
      <c r="A5464" s="140" t="s">
        <v>26</v>
      </c>
      <c r="B5464" s="136">
        <v>44120</v>
      </c>
      <c r="C5464" s="4">
        <v>382</v>
      </c>
      <c r="D5464" s="29">
        <f>C5464+D5440</f>
        <v>13790</v>
      </c>
      <c r="E5464" s="4">
        <v>13</v>
      </c>
      <c r="F5464" s="129">
        <f t="shared" si="497"/>
        <v>218</v>
      </c>
    </row>
    <row r="5465" spans="1:6" x14ac:dyDescent="0.25">
      <c r="A5465" s="140" t="s">
        <v>25</v>
      </c>
      <c r="B5465" s="136">
        <v>44120</v>
      </c>
      <c r="C5465" s="4">
        <v>536</v>
      </c>
      <c r="D5465" s="29">
        <f>C5465+D5441</f>
        <v>18561</v>
      </c>
      <c r="E5465" s="4">
        <v>2</v>
      </c>
      <c r="F5465" s="129">
        <f t="shared" si="497"/>
        <v>401</v>
      </c>
    </row>
    <row r="5466" spans="1:6" x14ac:dyDescent="0.25">
      <c r="A5466" s="140" t="s">
        <v>41</v>
      </c>
      <c r="B5466" s="136">
        <v>44120</v>
      </c>
      <c r="C5466" s="4">
        <v>215</v>
      </c>
      <c r="D5466" s="29">
        <f>C5466+D5442</f>
        <v>16226</v>
      </c>
      <c r="E5466" s="4">
        <v>13</v>
      </c>
      <c r="F5466" s="129">
        <f>E5466+F5442</f>
        <v>583</v>
      </c>
    </row>
    <row r="5467" spans="1:6" x14ac:dyDescent="0.25">
      <c r="A5467" s="140" t="s">
        <v>42</v>
      </c>
      <c r="B5467" s="136">
        <v>44120</v>
      </c>
      <c r="C5467" s="4">
        <v>9</v>
      </c>
      <c r="D5467" s="29">
        <f t="shared" ref="D5467:D5473" si="499">C5467+D5443</f>
        <v>1285</v>
      </c>
      <c r="F5467" s="129">
        <f>E5467+F5443</f>
        <v>51</v>
      </c>
    </row>
    <row r="5468" spans="1:6" x14ac:dyDescent="0.25">
      <c r="A5468" s="140" t="s">
        <v>43</v>
      </c>
      <c r="B5468" s="136">
        <v>44120</v>
      </c>
      <c r="C5468" s="4">
        <v>257</v>
      </c>
      <c r="D5468" s="29">
        <f t="shared" si="499"/>
        <v>2943</v>
      </c>
      <c r="E5468" s="4">
        <v>1</v>
      </c>
      <c r="F5468" s="129">
        <f t="shared" si="497"/>
        <v>35</v>
      </c>
    </row>
    <row r="5469" spans="1:6" x14ac:dyDescent="0.25">
      <c r="A5469" s="140" t="s">
        <v>44</v>
      </c>
      <c r="B5469" s="136">
        <v>44120</v>
      </c>
      <c r="C5469" s="4">
        <v>210</v>
      </c>
      <c r="D5469" s="29">
        <f t="shared" si="499"/>
        <v>7042</v>
      </c>
      <c r="E5469" s="4">
        <v>1</v>
      </c>
      <c r="F5469" s="129">
        <f>E5469+F5445</f>
        <v>96</v>
      </c>
    </row>
    <row r="5470" spans="1:6" x14ac:dyDescent="0.25">
      <c r="A5470" s="140" t="s">
        <v>29</v>
      </c>
      <c r="B5470" s="136">
        <v>44120</v>
      </c>
      <c r="C5470" s="4">
        <v>2582</v>
      </c>
      <c r="D5470" s="29">
        <f t="shared" si="499"/>
        <v>74610</v>
      </c>
      <c r="E5470" s="4">
        <v>29</v>
      </c>
      <c r="F5470" s="129">
        <f>E5470+F5446</f>
        <v>821</v>
      </c>
    </row>
    <row r="5471" spans="1:6" x14ac:dyDescent="0.25">
      <c r="A5471" s="140" t="s">
        <v>45</v>
      </c>
      <c r="B5471" s="136">
        <v>44120</v>
      </c>
      <c r="C5471" s="4">
        <v>342</v>
      </c>
      <c r="D5471" s="29">
        <f t="shared" si="499"/>
        <v>6315</v>
      </c>
      <c r="E5471" s="4">
        <v>6</v>
      </c>
      <c r="F5471" s="129">
        <f t="shared" si="497"/>
        <v>97</v>
      </c>
    </row>
    <row r="5472" spans="1:6" x14ac:dyDescent="0.25">
      <c r="A5472" s="140" t="s">
        <v>46</v>
      </c>
      <c r="B5472" s="136">
        <v>44120</v>
      </c>
      <c r="C5472" s="4">
        <v>256</v>
      </c>
      <c r="D5472" s="29">
        <f t="shared" si="499"/>
        <v>7758</v>
      </c>
      <c r="E5472" s="4">
        <v>5</v>
      </c>
      <c r="F5472" s="129">
        <f>E5472+F5448</f>
        <v>96</v>
      </c>
    </row>
    <row r="5473" spans="1:6" ht="15.75" thickBot="1" x14ac:dyDescent="0.3">
      <c r="A5473" s="141" t="s">
        <v>47</v>
      </c>
      <c r="B5473" s="136">
        <v>44120</v>
      </c>
      <c r="C5473" s="4">
        <v>1514</v>
      </c>
      <c r="D5473" s="132">
        <f t="shared" si="499"/>
        <v>33042</v>
      </c>
      <c r="E5473" s="4">
        <v>38</v>
      </c>
      <c r="F5473" s="130">
        <f>E5473+F5449</f>
        <v>454</v>
      </c>
    </row>
    <row r="5474" spans="1:6" x14ac:dyDescent="0.25">
      <c r="A5474" s="61" t="s">
        <v>22</v>
      </c>
      <c r="B5474" s="136">
        <v>44121</v>
      </c>
      <c r="C5474" s="4">
        <v>4419</v>
      </c>
      <c r="D5474" s="144">
        <f t="shared" ref="D5474:D5494" si="500">C5474+D5450</f>
        <v>495841</v>
      </c>
      <c r="E5474" s="4">
        <f>110+87</f>
        <v>197</v>
      </c>
      <c r="F5474" s="128">
        <f t="shared" ref="F5474:F5495" si="501">E5474+F5450</f>
        <v>15817</v>
      </c>
    </row>
    <row r="5475" spans="1:6" x14ac:dyDescent="0.25">
      <c r="A5475" s="61" t="s">
        <v>20</v>
      </c>
      <c r="B5475" s="136">
        <v>44121</v>
      </c>
      <c r="C5475" s="4">
        <v>610</v>
      </c>
      <c r="D5475" s="29">
        <f t="shared" si="500"/>
        <v>139453</v>
      </c>
      <c r="E5475" s="4">
        <f>18+32</f>
        <v>50</v>
      </c>
      <c r="F5475" s="129">
        <f t="shared" si="501"/>
        <v>4212</v>
      </c>
    </row>
    <row r="5476" spans="1:6" x14ac:dyDescent="0.25">
      <c r="A5476" s="61" t="s">
        <v>35</v>
      </c>
      <c r="B5476" s="136">
        <v>44121</v>
      </c>
      <c r="C5476" s="4">
        <v>24</v>
      </c>
      <c r="D5476" s="29">
        <f t="shared" si="500"/>
        <v>453</v>
      </c>
      <c r="F5476" s="129">
        <f t="shared" si="501"/>
        <v>0</v>
      </c>
    </row>
    <row r="5477" spans="1:6" x14ac:dyDescent="0.25">
      <c r="A5477" s="61" t="s">
        <v>21</v>
      </c>
      <c r="B5477" s="136">
        <v>44121</v>
      </c>
      <c r="C5477" s="4">
        <v>167</v>
      </c>
      <c r="D5477" s="29">
        <f t="shared" si="500"/>
        <v>11431</v>
      </c>
      <c r="E5477" s="4">
        <f>2+1</f>
        <v>3</v>
      </c>
      <c r="F5477" s="129">
        <f t="shared" si="501"/>
        <v>356</v>
      </c>
    </row>
    <row r="5478" spans="1:6" x14ac:dyDescent="0.25">
      <c r="A5478" s="61" t="s">
        <v>36</v>
      </c>
      <c r="B5478" s="136">
        <v>44121</v>
      </c>
      <c r="C5478" s="4">
        <v>335</v>
      </c>
      <c r="D5478" s="29">
        <f t="shared" si="500"/>
        <v>8892</v>
      </c>
      <c r="F5478" s="129">
        <f t="shared" si="501"/>
        <v>113</v>
      </c>
    </row>
    <row r="5479" spans="1:6" x14ac:dyDescent="0.25">
      <c r="A5479" s="61" t="s">
        <v>27</v>
      </c>
      <c r="B5479" s="136">
        <v>44121</v>
      </c>
      <c r="C5479" s="4">
        <v>1233</v>
      </c>
      <c r="D5479" s="29">
        <f t="shared" si="500"/>
        <v>61061</v>
      </c>
      <c r="E5479" s="4">
        <v>33</v>
      </c>
      <c r="F5479" s="129">
        <f t="shared" si="501"/>
        <v>823</v>
      </c>
    </row>
    <row r="5480" spans="1:6" x14ac:dyDescent="0.25">
      <c r="A5480" s="61" t="s">
        <v>37</v>
      </c>
      <c r="B5480" s="136">
        <v>44121</v>
      </c>
      <c r="C5480" s="4">
        <v>2</v>
      </c>
      <c r="D5480" s="29">
        <f t="shared" si="500"/>
        <v>1937</v>
      </c>
      <c r="F5480" s="129">
        <f t="shared" si="501"/>
        <v>32</v>
      </c>
    </row>
    <row r="5481" spans="1:6" x14ac:dyDescent="0.25">
      <c r="A5481" s="61" t="s">
        <v>38</v>
      </c>
      <c r="B5481" s="136">
        <v>44121</v>
      </c>
      <c r="C5481" s="4">
        <v>350</v>
      </c>
      <c r="D5481" s="29">
        <f t="shared" si="500"/>
        <v>11155</v>
      </c>
      <c r="E5481" s="4">
        <f>1</f>
        <v>1</v>
      </c>
      <c r="F5481" s="129">
        <f t="shared" si="501"/>
        <v>206</v>
      </c>
    </row>
    <row r="5482" spans="1:6" x14ac:dyDescent="0.25">
      <c r="A5482" s="61" t="s">
        <v>48</v>
      </c>
      <c r="B5482" s="136">
        <v>44121</v>
      </c>
      <c r="C5482" s="4">
        <v>1</v>
      </c>
      <c r="D5482" s="29">
        <f t="shared" si="500"/>
        <v>140</v>
      </c>
      <c r="F5482" s="129">
        <f t="shared" si="501"/>
        <v>1</v>
      </c>
    </row>
    <row r="5483" spans="1:6" x14ac:dyDescent="0.25">
      <c r="A5483" s="61" t="s">
        <v>39</v>
      </c>
      <c r="B5483" s="136">
        <v>44121</v>
      </c>
      <c r="C5483" s="4">
        <v>69</v>
      </c>
      <c r="D5483" s="29">
        <f t="shared" si="500"/>
        <v>17189</v>
      </c>
      <c r="E5483" s="4">
        <f>12+8</f>
        <v>20</v>
      </c>
      <c r="F5483" s="129">
        <f t="shared" si="501"/>
        <v>675</v>
      </c>
    </row>
    <row r="5484" spans="1:6" x14ac:dyDescent="0.25">
      <c r="A5484" s="61" t="s">
        <v>40</v>
      </c>
      <c r="B5484" s="136">
        <v>44121</v>
      </c>
      <c r="C5484" s="4">
        <v>95</v>
      </c>
      <c r="D5484" s="29">
        <f t="shared" si="500"/>
        <v>1531</v>
      </c>
      <c r="F5484" s="129">
        <f t="shared" si="501"/>
        <v>17</v>
      </c>
    </row>
    <row r="5485" spans="1:6" x14ac:dyDescent="0.25">
      <c r="A5485" s="61" t="s">
        <v>28</v>
      </c>
      <c r="B5485" s="136">
        <v>44121</v>
      </c>
      <c r="C5485" s="4">
        <v>55</v>
      </c>
      <c r="D5485" s="29">
        <f t="shared" si="500"/>
        <v>6378</v>
      </c>
      <c r="F5485" s="129">
        <f t="shared" si="501"/>
        <v>202</v>
      </c>
    </row>
    <row r="5486" spans="1:6" x14ac:dyDescent="0.25">
      <c r="A5486" s="61" t="s">
        <v>24</v>
      </c>
      <c r="B5486" s="136">
        <v>44121</v>
      </c>
      <c r="C5486" s="4">
        <v>659</v>
      </c>
      <c r="D5486" s="29">
        <f t="shared" si="500"/>
        <v>36589</v>
      </c>
      <c r="E5486" s="4">
        <f>23+17</f>
        <v>40</v>
      </c>
      <c r="F5486" s="129">
        <f t="shared" si="501"/>
        <v>538</v>
      </c>
    </row>
    <row r="5487" spans="1:6" x14ac:dyDescent="0.25">
      <c r="A5487" s="61" t="s">
        <v>30</v>
      </c>
      <c r="B5487" s="136">
        <v>44121</v>
      </c>
      <c r="C5487" s="4">
        <v>1</v>
      </c>
      <c r="D5487" s="29">
        <f t="shared" si="500"/>
        <v>199</v>
      </c>
      <c r="F5487" s="129">
        <f t="shared" si="501"/>
        <v>4</v>
      </c>
    </row>
    <row r="5488" spans="1:6" x14ac:dyDescent="0.25">
      <c r="A5488" s="61" t="s">
        <v>26</v>
      </c>
      <c r="B5488" s="136">
        <v>44121</v>
      </c>
      <c r="C5488" s="4">
        <v>1005</v>
      </c>
      <c r="D5488" s="29">
        <f t="shared" si="500"/>
        <v>14795</v>
      </c>
      <c r="F5488" s="129">
        <f t="shared" si="501"/>
        <v>218</v>
      </c>
    </row>
    <row r="5489" spans="1:6" x14ac:dyDescent="0.25">
      <c r="A5489" s="61" t="s">
        <v>25</v>
      </c>
      <c r="B5489" s="136">
        <v>44121</v>
      </c>
      <c r="C5489" s="4">
        <v>357</v>
      </c>
      <c r="D5489" s="29">
        <f t="shared" si="500"/>
        <v>18918</v>
      </c>
      <c r="E5489" s="4">
        <f>2</f>
        <v>2</v>
      </c>
      <c r="F5489" s="129">
        <f t="shared" si="501"/>
        <v>403</v>
      </c>
    </row>
    <row r="5490" spans="1:6" x14ac:dyDescent="0.25">
      <c r="A5490" s="61" t="s">
        <v>41</v>
      </c>
      <c r="B5490" s="136">
        <v>44121</v>
      </c>
      <c r="C5490" s="4">
        <v>238</v>
      </c>
      <c r="D5490" s="29">
        <f t="shared" si="500"/>
        <v>16464</v>
      </c>
      <c r="E5490" s="4">
        <f>5+1</f>
        <v>6</v>
      </c>
      <c r="F5490" s="129">
        <f>E5490+F5466</f>
        <v>589</v>
      </c>
    </row>
    <row r="5491" spans="1:6" x14ac:dyDescent="0.25">
      <c r="A5491" s="61" t="s">
        <v>42</v>
      </c>
      <c r="B5491" s="136">
        <v>44121</v>
      </c>
      <c r="C5491" s="4">
        <v>6</v>
      </c>
      <c r="D5491" s="29">
        <f t="shared" si="500"/>
        <v>1291</v>
      </c>
      <c r="F5491" s="129">
        <f>E5491+F5467</f>
        <v>51</v>
      </c>
    </row>
    <row r="5492" spans="1:6" x14ac:dyDescent="0.25">
      <c r="A5492" s="61" t="s">
        <v>43</v>
      </c>
      <c r="B5492" s="136">
        <v>44121</v>
      </c>
      <c r="C5492" s="4">
        <v>201</v>
      </c>
      <c r="D5492" s="29">
        <f t="shared" si="500"/>
        <v>3144</v>
      </c>
      <c r="F5492" s="129">
        <f t="shared" si="501"/>
        <v>35</v>
      </c>
    </row>
    <row r="5493" spans="1:6" x14ac:dyDescent="0.25">
      <c r="A5493" s="61" t="s">
        <v>44</v>
      </c>
      <c r="B5493" s="136">
        <v>44121</v>
      </c>
      <c r="C5493" s="4">
        <v>141</v>
      </c>
      <c r="D5493" s="29">
        <f t="shared" si="500"/>
        <v>7183</v>
      </c>
      <c r="E5493" s="4">
        <f>1</f>
        <v>1</v>
      </c>
      <c r="F5493" s="129">
        <f>E5493+F5469</f>
        <v>97</v>
      </c>
    </row>
    <row r="5494" spans="1:6" x14ac:dyDescent="0.25">
      <c r="A5494" s="61" t="s">
        <v>29</v>
      </c>
      <c r="B5494" s="136">
        <v>44121</v>
      </c>
      <c r="C5494" s="4">
        <v>2199</v>
      </c>
      <c r="D5494" s="29">
        <f t="shared" si="500"/>
        <v>76809</v>
      </c>
      <c r="E5494" s="4">
        <f>11+16</f>
        <v>27</v>
      </c>
      <c r="F5494" s="129">
        <f>E5494+F5470</f>
        <v>848</v>
      </c>
    </row>
    <row r="5495" spans="1:6" x14ac:dyDescent="0.25">
      <c r="A5495" s="61" t="s">
        <v>45</v>
      </c>
      <c r="B5495" s="136">
        <v>44121</v>
      </c>
      <c r="C5495" s="4">
        <v>238</v>
      </c>
      <c r="D5495" s="29">
        <f t="shared" ref="D5495:D5496" si="502">C5495+D5471</f>
        <v>6553</v>
      </c>
      <c r="F5495" s="129">
        <f t="shared" si="501"/>
        <v>97</v>
      </c>
    </row>
    <row r="5496" spans="1:6" x14ac:dyDescent="0.25">
      <c r="A5496" s="61" t="s">
        <v>46</v>
      </c>
      <c r="B5496" s="136">
        <v>44121</v>
      </c>
      <c r="C5496" s="4">
        <v>182</v>
      </c>
      <c r="D5496" s="29">
        <f t="shared" si="502"/>
        <v>7940</v>
      </c>
      <c r="E5496" s="4">
        <f>3+1</f>
        <v>4</v>
      </c>
      <c r="F5496" s="129">
        <f>E5496+F5472</f>
        <v>100</v>
      </c>
    </row>
    <row r="5497" spans="1:6" ht="15.75" thickBot="1" x14ac:dyDescent="0.3">
      <c r="A5497" s="86" t="s">
        <v>47</v>
      </c>
      <c r="B5497" s="138">
        <v>44121</v>
      </c>
      <c r="C5497" s="47">
        <v>923</v>
      </c>
      <c r="D5497" s="29">
        <f t="shared" ref="D5497:D5518" si="503">C5497+D5473</f>
        <v>33965</v>
      </c>
      <c r="E5497" s="47"/>
      <c r="F5497" s="139">
        <f>E5497+F5473</f>
        <v>454</v>
      </c>
    </row>
    <row r="5498" spans="1:6" x14ac:dyDescent="0.25">
      <c r="A5498" s="171" t="s">
        <v>22</v>
      </c>
      <c r="B5498" s="172">
        <v>44122</v>
      </c>
      <c r="C5498" s="173">
        <v>2383</v>
      </c>
      <c r="D5498" s="144">
        <f t="shared" si="503"/>
        <v>498224</v>
      </c>
      <c r="E5498" s="173">
        <f>8+7</f>
        <v>15</v>
      </c>
      <c r="F5498" s="174">
        <f t="shared" ref="F5498:F5519" si="504">E5498+F5474</f>
        <v>15832</v>
      </c>
    </row>
    <row r="5499" spans="1:6" x14ac:dyDescent="0.25">
      <c r="A5499" s="175" t="s">
        <v>20</v>
      </c>
      <c r="B5499" s="136">
        <v>44122</v>
      </c>
      <c r="C5499" s="4">
        <v>517</v>
      </c>
      <c r="D5499" s="29">
        <f t="shared" si="503"/>
        <v>139970</v>
      </c>
      <c r="E5499" s="4">
        <f>18+20</f>
        <v>38</v>
      </c>
      <c r="F5499" s="176">
        <f t="shared" si="504"/>
        <v>4250</v>
      </c>
    </row>
    <row r="5500" spans="1:6" x14ac:dyDescent="0.25">
      <c r="A5500" s="175" t="s">
        <v>35</v>
      </c>
      <c r="B5500" s="136">
        <v>44122</v>
      </c>
      <c r="C5500" s="4">
        <v>27</v>
      </c>
      <c r="D5500" s="29">
        <f t="shared" si="503"/>
        <v>480</v>
      </c>
      <c r="F5500" s="176">
        <f t="shared" si="504"/>
        <v>0</v>
      </c>
    </row>
    <row r="5501" spans="1:6" x14ac:dyDescent="0.25">
      <c r="A5501" s="175" t="s">
        <v>21</v>
      </c>
      <c r="B5501" s="136">
        <v>44122</v>
      </c>
      <c r="C5501" s="4">
        <v>232</v>
      </c>
      <c r="D5501" s="29">
        <f t="shared" si="503"/>
        <v>11663</v>
      </c>
      <c r="E5501" s="4">
        <f>1+2</f>
        <v>3</v>
      </c>
      <c r="F5501" s="176">
        <f t="shared" si="504"/>
        <v>359</v>
      </c>
    </row>
    <row r="5502" spans="1:6" x14ac:dyDescent="0.25">
      <c r="A5502" s="175" t="s">
        <v>36</v>
      </c>
      <c r="B5502" s="136">
        <v>44122</v>
      </c>
      <c r="C5502" s="4">
        <v>150</v>
      </c>
      <c r="D5502" s="29">
        <f t="shared" si="503"/>
        <v>9042</v>
      </c>
      <c r="E5502" s="4">
        <f>5+4</f>
        <v>9</v>
      </c>
      <c r="F5502" s="176">
        <f t="shared" si="504"/>
        <v>122</v>
      </c>
    </row>
    <row r="5503" spans="1:6" x14ac:dyDescent="0.25">
      <c r="A5503" s="175" t="s">
        <v>27</v>
      </c>
      <c r="B5503" s="136">
        <v>44122</v>
      </c>
      <c r="C5503" s="4">
        <v>1850</v>
      </c>
      <c r="D5503" s="29">
        <f t="shared" si="503"/>
        <v>62911</v>
      </c>
      <c r="E5503" s="4">
        <f>15+12</f>
        <v>27</v>
      </c>
      <c r="F5503" s="176">
        <f t="shared" si="504"/>
        <v>850</v>
      </c>
    </row>
    <row r="5504" spans="1:6" x14ac:dyDescent="0.25">
      <c r="A5504" s="175" t="s">
        <v>37</v>
      </c>
      <c r="B5504" s="136">
        <v>44122</v>
      </c>
      <c r="C5504" s="4">
        <v>41</v>
      </c>
      <c r="D5504" s="29">
        <f t="shared" si="503"/>
        <v>1978</v>
      </c>
      <c r="F5504" s="176">
        <f t="shared" si="504"/>
        <v>32</v>
      </c>
    </row>
    <row r="5505" spans="1:6" x14ac:dyDescent="0.25">
      <c r="A5505" s="175" t="s">
        <v>38</v>
      </c>
      <c r="B5505" s="136">
        <v>44122</v>
      </c>
      <c r="C5505" s="4">
        <v>279</v>
      </c>
      <c r="D5505" s="29">
        <f t="shared" si="503"/>
        <v>11434</v>
      </c>
      <c r="E5505" s="4">
        <v>1</v>
      </c>
      <c r="F5505" s="176">
        <f t="shared" si="504"/>
        <v>207</v>
      </c>
    </row>
    <row r="5506" spans="1:6" x14ac:dyDescent="0.25">
      <c r="A5506" s="175" t="s">
        <v>48</v>
      </c>
      <c r="B5506" s="136">
        <v>44122</v>
      </c>
      <c r="C5506" s="4">
        <v>-2</v>
      </c>
      <c r="D5506" s="29">
        <f t="shared" si="503"/>
        <v>138</v>
      </c>
      <c r="F5506" s="176">
        <f t="shared" si="504"/>
        <v>1</v>
      </c>
    </row>
    <row r="5507" spans="1:6" x14ac:dyDescent="0.25">
      <c r="A5507" s="175" t="s">
        <v>39</v>
      </c>
      <c r="B5507" s="136">
        <v>44122</v>
      </c>
      <c r="C5507" s="4">
        <v>45</v>
      </c>
      <c r="D5507" s="29">
        <f t="shared" si="503"/>
        <v>17234</v>
      </c>
      <c r="F5507" s="176">
        <f t="shared" si="504"/>
        <v>675</v>
      </c>
    </row>
    <row r="5508" spans="1:6" x14ac:dyDescent="0.25">
      <c r="A5508" s="175" t="s">
        <v>40</v>
      </c>
      <c r="B5508" s="136">
        <v>44122</v>
      </c>
      <c r="C5508" s="4">
        <v>87</v>
      </c>
      <c r="D5508" s="29">
        <f t="shared" si="503"/>
        <v>1618</v>
      </c>
      <c r="F5508" s="176">
        <f t="shared" si="504"/>
        <v>17</v>
      </c>
    </row>
    <row r="5509" spans="1:6" x14ac:dyDescent="0.25">
      <c r="A5509" s="175" t="s">
        <v>28</v>
      </c>
      <c r="B5509" s="136">
        <v>44122</v>
      </c>
      <c r="C5509" s="4">
        <v>181</v>
      </c>
      <c r="D5509" s="29">
        <f t="shared" si="503"/>
        <v>6559</v>
      </c>
      <c r="F5509" s="176">
        <f t="shared" si="504"/>
        <v>202</v>
      </c>
    </row>
    <row r="5510" spans="1:6" x14ac:dyDescent="0.25">
      <c r="A5510" s="175" t="s">
        <v>24</v>
      </c>
      <c r="B5510" s="136">
        <v>44122</v>
      </c>
      <c r="C5510" s="4">
        <v>513</v>
      </c>
      <c r="D5510" s="29">
        <f t="shared" si="503"/>
        <v>37102</v>
      </c>
      <c r="E5510" s="4">
        <f>11+6</f>
        <v>17</v>
      </c>
      <c r="F5510" s="176">
        <f t="shared" si="504"/>
        <v>555</v>
      </c>
    </row>
    <row r="5511" spans="1:6" x14ac:dyDescent="0.25">
      <c r="A5511" s="175" t="s">
        <v>30</v>
      </c>
      <c r="B5511" s="136">
        <v>44122</v>
      </c>
      <c r="C5511" s="4">
        <v>4</v>
      </c>
      <c r="D5511" s="29">
        <f t="shared" si="503"/>
        <v>203</v>
      </c>
      <c r="F5511" s="176">
        <f t="shared" si="504"/>
        <v>4</v>
      </c>
    </row>
    <row r="5512" spans="1:6" x14ac:dyDescent="0.25">
      <c r="A5512" s="175" t="s">
        <v>26</v>
      </c>
      <c r="B5512" s="136">
        <v>44122</v>
      </c>
      <c r="C5512" s="4">
        <v>288</v>
      </c>
      <c r="D5512" s="29">
        <f t="shared" si="503"/>
        <v>15083</v>
      </c>
      <c r="E5512" s="4">
        <f>16+8</f>
        <v>24</v>
      </c>
      <c r="F5512" s="176">
        <f t="shared" si="504"/>
        <v>242</v>
      </c>
    </row>
    <row r="5513" spans="1:6" x14ac:dyDescent="0.25">
      <c r="A5513" s="175" t="s">
        <v>25</v>
      </c>
      <c r="B5513" s="136">
        <v>44122</v>
      </c>
      <c r="C5513" s="4">
        <v>273</v>
      </c>
      <c r="D5513" s="29">
        <f t="shared" si="503"/>
        <v>19191</v>
      </c>
      <c r="E5513" s="4">
        <f>1+4</f>
        <v>5</v>
      </c>
      <c r="F5513" s="176">
        <f t="shared" si="504"/>
        <v>408</v>
      </c>
    </row>
    <row r="5514" spans="1:6" x14ac:dyDescent="0.25">
      <c r="A5514" s="175" t="s">
        <v>41</v>
      </c>
      <c r="B5514" s="136">
        <v>44122</v>
      </c>
      <c r="C5514" s="4">
        <v>168</v>
      </c>
      <c r="D5514" s="29">
        <f t="shared" si="503"/>
        <v>16632</v>
      </c>
      <c r="E5514" s="4">
        <f>14+1</f>
        <v>15</v>
      </c>
      <c r="F5514" s="176">
        <f>E5514+F5490</f>
        <v>604</v>
      </c>
    </row>
    <row r="5515" spans="1:6" x14ac:dyDescent="0.25">
      <c r="A5515" s="175" t="s">
        <v>42</v>
      </c>
      <c r="B5515" s="136">
        <v>44122</v>
      </c>
      <c r="C5515" s="4">
        <v>1</v>
      </c>
      <c r="D5515" s="29">
        <f t="shared" si="503"/>
        <v>1292</v>
      </c>
      <c r="F5515" s="176">
        <f>E5515+F5491</f>
        <v>51</v>
      </c>
    </row>
    <row r="5516" spans="1:6" x14ac:dyDescent="0.25">
      <c r="A5516" s="175" t="s">
        <v>43</v>
      </c>
      <c r="B5516" s="136">
        <v>44122</v>
      </c>
      <c r="C5516" s="4">
        <v>183</v>
      </c>
      <c r="D5516" s="29">
        <f t="shared" si="503"/>
        <v>3327</v>
      </c>
      <c r="E5516" s="4">
        <f>1</f>
        <v>1</v>
      </c>
      <c r="F5516" s="176">
        <f t="shared" si="504"/>
        <v>36</v>
      </c>
    </row>
    <row r="5517" spans="1:6" x14ac:dyDescent="0.25">
      <c r="A5517" s="175" t="s">
        <v>44</v>
      </c>
      <c r="B5517" s="136">
        <v>44122</v>
      </c>
      <c r="C5517" s="4">
        <v>84</v>
      </c>
      <c r="D5517" s="29">
        <f t="shared" si="503"/>
        <v>7267</v>
      </c>
      <c r="E5517" s="4">
        <f>3</f>
        <v>3</v>
      </c>
      <c r="F5517" s="176">
        <f>E5517+F5493</f>
        <v>100</v>
      </c>
    </row>
    <row r="5518" spans="1:6" x14ac:dyDescent="0.25">
      <c r="A5518" s="175" t="s">
        <v>29</v>
      </c>
      <c r="B5518" s="136">
        <v>44122</v>
      </c>
      <c r="C5518" s="4">
        <v>2015</v>
      </c>
      <c r="D5518" s="29">
        <f t="shared" si="503"/>
        <v>78824</v>
      </c>
      <c r="E5518" s="4">
        <f>1</f>
        <v>1</v>
      </c>
      <c r="F5518" s="176">
        <f>E5518+F5494</f>
        <v>849</v>
      </c>
    </row>
    <row r="5519" spans="1:6" x14ac:dyDescent="0.25">
      <c r="A5519" s="175" t="s">
        <v>45</v>
      </c>
      <c r="B5519" s="136">
        <v>44122</v>
      </c>
      <c r="C5519" s="4">
        <v>262</v>
      </c>
      <c r="D5519" s="29">
        <f t="shared" ref="D5519:D5520" si="505">C5519+D5495</f>
        <v>6815</v>
      </c>
      <c r="F5519" s="176">
        <f t="shared" si="504"/>
        <v>97</v>
      </c>
    </row>
    <row r="5520" spans="1:6" x14ac:dyDescent="0.25">
      <c r="A5520" s="175" t="s">
        <v>46</v>
      </c>
      <c r="B5520" s="136">
        <v>44122</v>
      </c>
      <c r="C5520" s="4">
        <v>208</v>
      </c>
      <c r="D5520" s="29">
        <f t="shared" si="505"/>
        <v>8148</v>
      </c>
      <c r="E5520" s="4">
        <f>2</f>
        <v>2</v>
      </c>
      <c r="F5520" s="176">
        <f>E5520+F5496</f>
        <v>102</v>
      </c>
    </row>
    <row r="5521" spans="1:6" ht="15.75" thickBot="1" x14ac:dyDescent="0.3">
      <c r="A5521" s="177" t="s">
        <v>47</v>
      </c>
      <c r="B5521" s="178">
        <v>44122</v>
      </c>
      <c r="C5521" s="179">
        <v>772</v>
      </c>
      <c r="D5521" s="29">
        <f t="shared" ref="D5521:D5542" si="506">C5521+D5497</f>
        <v>34737</v>
      </c>
      <c r="E5521" s="179"/>
      <c r="F5521" s="180">
        <f>E5521+F5497</f>
        <v>454</v>
      </c>
    </row>
    <row r="5522" spans="1:6" x14ac:dyDescent="0.25">
      <c r="A5522" s="171" t="s">
        <v>22</v>
      </c>
      <c r="B5522" s="172">
        <v>44123</v>
      </c>
      <c r="C5522" s="173">
        <v>4206</v>
      </c>
      <c r="D5522" s="144">
        <f t="shared" si="506"/>
        <v>502430</v>
      </c>
      <c r="E5522" s="173">
        <v>197</v>
      </c>
      <c r="F5522" s="181">
        <v>16032</v>
      </c>
    </row>
    <row r="5523" spans="1:6" x14ac:dyDescent="0.25">
      <c r="A5523" s="175" t="s">
        <v>20</v>
      </c>
      <c r="B5523" s="136">
        <v>44123</v>
      </c>
      <c r="C5523" s="4">
        <v>557</v>
      </c>
      <c r="D5523" s="29">
        <f t="shared" si="506"/>
        <v>140527</v>
      </c>
      <c r="E5523" s="4">
        <v>47</v>
      </c>
      <c r="F5523" s="182">
        <v>4227</v>
      </c>
    </row>
    <row r="5524" spans="1:6" x14ac:dyDescent="0.25">
      <c r="A5524" s="175" t="s">
        <v>35</v>
      </c>
      <c r="B5524" s="136">
        <v>44123</v>
      </c>
      <c r="C5524" s="4">
        <v>12</v>
      </c>
      <c r="D5524" s="29">
        <f t="shared" si="506"/>
        <v>492</v>
      </c>
      <c r="F5524" s="182">
        <f t="shared" ref="F5524:F5544" si="507">E5524+F5500</f>
        <v>0</v>
      </c>
    </row>
    <row r="5525" spans="1:6" x14ac:dyDescent="0.25">
      <c r="A5525" s="175" t="s">
        <v>21</v>
      </c>
      <c r="B5525" s="136">
        <v>44123</v>
      </c>
      <c r="C5525" s="4">
        <v>185</v>
      </c>
      <c r="D5525" s="29">
        <f t="shared" si="506"/>
        <v>11848</v>
      </c>
      <c r="E5525" s="4">
        <v>8</v>
      </c>
      <c r="F5525" s="182">
        <v>373</v>
      </c>
    </row>
    <row r="5526" spans="1:6" x14ac:dyDescent="0.25">
      <c r="A5526" s="175" t="s">
        <v>36</v>
      </c>
      <c r="B5526" s="136">
        <v>44123</v>
      </c>
      <c r="C5526" s="4">
        <v>220</v>
      </c>
      <c r="D5526" s="29">
        <f t="shared" si="506"/>
        <v>9262</v>
      </c>
      <c r="E5526" s="4">
        <v>1</v>
      </c>
      <c r="F5526" s="182">
        <v>185</v>
      </c>
    </row>
    <row r="5527" spans="1:6" x14ac:dyDescent="0.25">
      <c r="A5527" s="175" t="s">
        <v>27</v>
      </c>
      <c r="B5527" s="136">
        <v>44123</v>
      </c>
      <c r="C5527" s="4">
        <v>1668</v>
      </c>
      <c r="D5527" s="29">
        <f t="shared" si="506"/>
        <v>64579</v>
      </c>
      <c r="E5527" s="4">
        <v>44</v>
      </c>
      <c r="F5527" s="182">
        <v>871</v>
      </c>
    </row>
    <row r="5528" spans="1:6" x14ac:dyDescent="0.25">
      <c r="A5528" s="175" t="s">
        <v>37</v>
      </c>
      <c r="B5528" s="136">
        <v>44123</v>
      </c>
      <c r="C5528" s="4">
        <v>122</v>
      </c>
      <c r="D5528" s="29">
        <f t="shared" si="506"/>
        <v>2100</v>
      </c>
      <c r="E5528" s="4">
        <v>3</v>
      </c>
      <c r="F5528" s="182">
        <v>36</v>
      </c>
    </row>
    <row r="5529" spans="1:6" x14ac:dyDescent="0.25">
      <c r="A5529" s="175" t="s">
        <v>38</v>
      </c>
      <c r="B5529" s="136">
        <v>44123</v>
      </c>
      <c r="C5529" s="4">
        <v>258</v>
      </c>
      <c r="D5529" s="29">
        <f t="shared" si="506"/>
        <v>11692</v>
      </c>
      <c r="E5529" s="4">
        <v>5</v>
      </c>
      <c r="F5529" s="182">
        <v>210</v>
      </c>
    </row>
    <row r="5530" spans="1:6" x14ac:dyDescent="0.25">
      <c r="A5530" s="175" t="s">
        <v>48</v>
      </c>
      <c r="B5530" s="136">
        <v>44123</v>
      </c>
      <c r="C5530" s="4">
        <v>6</v>
      </c>
      <c r="D5530" s="29">
        <f t="shared" si="506"/>
        <v>144</v>
      </c>
      <c r="F5530" s="182">
        <f t="shared" si="507"/>
        <v>1</v>
      </c>
    </row>
    <row r="5531" spans="1:6" x14ac:dyDescent="0.25">
      <c r="A5531" s="175" t="s">
        <v>39</v>
      </c>
      <c r="B5531" s="136">
        <v>44123</v>
      </c>
      <c r="C5531" s="4">
        <v>51</v>
      </c>
      <c r="D5531" s="29">
        <f t="shared" si="506"/>
        <v>17285</v>
      </c>
      <c r="E5531" s="4">
        <v>30</v>
      </c>
      <c r="F5531" s="182">
        <v>734</v>
      </c>
    </row>
    <row r="5532" spans="1:6" x14ac:dyDescent="0.25">
      <c r="A5532" s="175" t="s">
        <v>40</v>
      </c>
      <c r="B5532" s="136">
        <v>44123</v>
      </c>
      <c r="C5532" s="4">
        <v>92</v>
      </c>
      <c r="D5532" s="29">
        <f t="shared" si="506"/>
        <v>1710</v>
      </c>
      <c r="F5532" s="182">
        <v>16</v>
      </c>
    </row>
    <row r="5533" spans="1:6" x14ac:dyDescent="0.25">
      <c r="A5533" s="175" t="s">
        <v>28</v>
      </c>
      <c r="B5533" s="136">
        <v>44123</v>
      </c>
      <c r="C5533" s="4">
        <v>65</v>
      </c>
      <c r="D5533" s="29">
        <f t="shared" si="506"/>
        <v>6624</v>
      </c>
      <c r="E5533" s="4">
        <v>3</v>
      </c>
      <c r="F5533" s="182">
        <v>226</v>
      </c>
    </row>
    <row r="5534" spans="1:6" x14ac:dyDescent="0.25">
      <c r="A5534" s="175" t="s">
        <v>24</v>
      </c>
      <c r="B5534" s="136">
        <v>44123</v>
      </c>
      <c r="C5534" s="4">
        <v>744</v>
      </c>
      <c r="D5534" s="29">
        <f t="shared" si="506"/>
        <v>37846</v>
      </c>
      <c r="E5534" s="4">
        <v>28</v>
      </c>
      <c r="F5534" s="182">
        <v>625</v>
      </c>
    </row>
    <row r="5535" spans="1:6" x14ac:dyDescent="0.25">
      <c r="A5535" s="175" t="s">
        <v>30</v>
      </c>
      <c r="B5535" s="136">
        <v>44123</v>
      </c>
      <c r="C5535" s="4">
        <v>-6</v>
      </c>
      <c r="D5535" s="29">
        <f t="shared" si="506"/>
        <v>197</v>
      </c>
      <c r="F5535" s="182">
        <f t="shared" si="507"/>
        <v>4</v>
      </c>
    </row>
    <row r="5536" spans="1:6" x14ac:dyDescent="0.25">
      <c r="A5536" s="175" t="s">
        <v>26</v>
      </c>
      <c r="B5536" s="136">
        <v>44123</v>
      </c>
      <c r="C5536" s="4">
        <v>271</v>
      </c>
      <c r="D5536" s="29">
        <f t="shared" si="506"/>
        <v>15354</v>
      </c>
      <c r="E5536" s="4">
        <v>4</v>
      </c>
      <c r="F5536" s="182">
        <v>282</v>
      </c>
    </row>
    <row r="5537" spans="1:6" x14ac:dyDescent="0.25">
      <c r="A5537" s="175" t="s">
        <v>25</v>
      </c>
      <c r="B5537" s="136">
        <v>44123</v>
      </c>
      <c r="C5537" s="4">
        <v>207</v>
      </c>
      <c r="D5537" s="29">
        <f t="shared" si="506"/>
        <v>19398</v>
      </c>
      <c r="E5537" s="4">
        <v>11</v>
      </c>
      <c r="F5537" s="182">
        <v>505</v>
      </c>
    </row>
    <row r="5538" spans="1:6" x14ac:dyDescent="0.25">
      <c r="A5538" s="175" t="s">
        <v>41</v>
      </c>
      <c r="B5538" s="136">
        <v>44123</v>
      </c>
      <c r="C5538" s="4">
        <v>80</v>
      </c>
      <c r="D5538" s="29">
        <f t="shared" si="506"/>
        <v>16712</v>
      </c>
      <c r="E5538" s="4">
        <v>18</v>
      </c>
      <c r="F5538" s="182">
        <v>632</v>
      </c>
    </row>
    <row r="5539" spans="1:6" x14ac:dyDescent="0.25">
      <c r="A5539" s="175" t="s">
        <v>42</v>
      </c>
      <c r="B5539" s="136">
        <v>44123</v>
      </c>
      <c r="C5539" s="4">
        <v>10</v>
      </c>
      <c r="D5539" s="29">
        <f t="shared" si="506"/>
        <v>1302</v>
      </c>
      <c r="E5539" s="4">
        <v>2</v>
      </c>
      <c r="F5539" s="182">
        <v>75</v>
      </c>
    </row>
    <row r="5540" spans="1:6" x14ac:dyDescent="0.25">
      <c r="A5540" s="175" t="s">
        <v>43</v>
      </c>
      <c r="B5540" s="136">
        <v>44123</v>
      </c>
      <c r="C5540" s="4">
        <v>277</v>
      </c>
      <c r="D5540" s="29">
        <f t="shared" si="506"/>
        <v>3604</v>
      </c>
      <c r="F5540" s="182">
        <v>51</v>
      </c>
    </row>
    <row r="5541" spans="1:6" x14ac:dyDescent="0.25">
      <c r="A5541" s="175" t="s">
        <v>44</v>
      </c>
      <c r="B5541" s="136">
        <v>44123</v>
      </c>
      <c r="C5541" s="4">
        <v>138</v>
      </c>
      <c r="D5541" s="29">
        <f t="shared" si="506"/>
        <v>7405</v>
      </c>
      <c r="E5541" s="4">
        <v>1</v>
      </c>
      <c r="F5541" s="182">
        <v>99</v>
      </c>
    </row>
    <row r="5542" spans="1:6" x14ac:dyDescent="0.25">
      <c r="A5542" s="175" t="s">
        <v>29</v>
      </c>
      <c r="B5542" s="136">
        <v>44123</v>
      </c>
      <c r="C5542" s="4">
        <v>2050</v>
      </c>
      <c r="D5542" s="29">
        <f t="shared" si="506"/>
        <v>80874</v>
      </c>
      <c r="E5542" s="4">
        <v>28</v>
      </c>
      <c r="F5542" s="182">
        <v>857</v>
      </c>
    </row>
    <row r="5543" spans="1:6" x14ac:dyDescent="0.25">
      <c r="A5543" s="175" t="s">
        <v>45</v>
      </c>
      <c r="B5543" s="136">
        <v>44123</v>
      </c>
      <c r="C5543" s="4">
        <v>145</v>
      </c>
      <c r="D5543" s="29">
        <f t="shared" ref="D5543:D5544" si="508">C5543+D5519</f>
        <v>6960</v>
      </c>
      <c r="E5543" s="4">
        <v>1</v>
      </c>
      <c r="F5543" s="182">
        <v>100</v>
      </c>
    </row>
    <row r="5544" spans="1:6" x14ac:dyDescent="0.25">
      <c r="A5544" s="175" t="s">
        <v>46</v>
      </c>
      <c r="B5544" s="136">
        <v>44123</v>
      </c>
      <c r="C5544" s="4">
        <v>238</v>
      </c>
      <c r="D5544" s="29">
        <f t="shared" si="508"/>
        <v>8386</v>
      </c>
      <c r="F5544" s="182">
        <f t="shared" si="507"/>
        <v>102</v>
      </c>
    </row>
    <row r="5545" spans="1:6" ht="15.75" thickBot="1" x14ac:dyDescent="0.3">
      <c r="A5545" s="196" t="s">
        <v>47</v>
      </c>
      <c r="B5545" s="138">
        <v>44123</v>
      </c>
      <c r="C5545" s="47">
        <v>1386</v>
      </c>
      <c r="D5545" s="29">
        <f t="shared" ref="D5545:D5566" si="509">C5545+D5521</f>
        <v>36123</v>
      </c>
      <c r="E5545" s="47">
        <v>17</v>
      </c>
      <c r="F5545" s="182">
        <v>473</v>
      </c>
    </row>
    <row r="5546" spans="1:6" x14ac:dyDescent="0.25">
      <c r="A5546" s="64" t="s">
        <v>22</v>
      </c>
      <c r="B5546" s="49">
        <v>44124</v>
      </c>
      <c r="C5546" s="50">
        <v>4981</v>
      </c>
      <c r="D5546" s="144">
        <f t="shared" si="509"/>
        <v>507411</v>
      </c>
      <c r="E5546" s="50">
        <f>83+60</f>
        <v>143</v>
      </c>
      <c r="F5546" s="128">
        <f t="shared" ref="F5546:F5609" si="510">E5546+F5522</f>
        <v>16175</v>
      </c>
    </row>
    <row r="5547" spans="1:6" x14ac:dyDescent="0.25">
      <c r="A5547" s="140" t="s">
        <v>20</v>
      </c>
      <c r="B5547" s="26">
        <v>44124</v>
      </c>
      <c r="C5547" s="4">
        <v>663</v>
      </c>
      <c r="D5547" s="29">
        <f t="shared" si="509"/>
        <v>141190</v>
      </c>
      <c r="E5547" s="4">
        <f>19+34+1</f>
        <v>54</v>
      </c>
      <c r="F5547" s="129">
        <f t="shared" si="510"/>
        <v>4281</v>
      </c>
    </row>
    <row r="5548" spans="1:6" x14ac:dyDescent="0.25">
      <c r="A5548" s="140" t="s">
        <v>35</v>
      </c>
      <c r="B5548" s="26">
        <v>44124</v>
      </c>
      <c r="C5548" s="4">
        <v>8</v>
      </c>
      <c r="D5548" s="29">
        <f t="shared" si="509"/>
        <v>500</v>
      </c>
      <c r="F5548" s="129">
        <f t="shared" si="510"/>
        <v>0</v>
      </c>
    </row>
    <row r="5549" spans="1:6" x14ac:dyDescent="0.25">
      <c r="A5549" s="140" t="s">
        <v>21</v>
      </c>
      <c r="B5549" s="26">
        <v>44124</v>
      </c>
      <c r="C5549" s="4">
        <v>193</v>
      </c>
      <c r="D5549" s="29">
        <f t="shared" si="509"/>
        <v>12041</v>
      </c>
      <c r="E5549" s="4">
        <f>3+2</f>
        <v>5</v>
      </c>
      <c r="F5549" s="129">
        <f t="shared" si="510"/>
        <v>378</v>
      </c>
    </row>
    <row r="5550" spans="1:6" x14ac:dyDescent="0.25">
      <c r="A5550" s="140" t="s">
        <v>36</v>
      </c>
      <c r="B5550" s="26">
        <v>44124</v>
      </c>
      <c r="C5550" s="4">
        <v>465</v>
      </c>
      <c r="D5550" s="29">
        <f t="shared" si="509"/>
        <v>9727</v>
      </c>
      <c r="E5550" s="4">
        <f>5+2</f>
        <v>7</v>
      </c>
      <c r="F5550" s="129">
        <f t="shared" si="510"/>
        <v>192</v>
      </c>
    </row>
    <row r="5551" spans="1:6" x14ac:dyDescent="0.25">
      <c r="A5551" s="140" t="s">
        <v>27</v>
      </c>
      <c r="B5551" s="26">
        <v>44124</v>
      </c>
      <c r="C5551" s="4">
        <v>1708</v>
      </c>
      <c r="D5551" s="29">
        <f t="shared" si="509"/>
        <v>66287</v>
      </c>
      <c r="E5551" s="4">
        <f>31+21</f>
        <v>52</v>
      </c>
      <c r="F5551" s="129">
        <f t="shared" si="510"/>
        <v>923</v>
      </c>
    </row>
    <row r="5552" spans="1:6" x14ac:dyDescent="0.25">
      <c r="A5552" s="140" t="s">
        <v>37</v>
      </c>
      <c r="B5552" s="26">
        <v>44124</v>
      </c>
      <c r="C5552" s="4">
        <v>34</v>
      </c>
      <c r="D5552" s="29">
        <f t="shared" si="509"/>
        <v>2134</v>
      </c>
      <c r="F5552" s="129">
        <f t="shared" si="510"/>
        <v>36</v>
      </c>
    </row>
    <row r="5553" spans="1:6" x14ac:dyDescent="0.25">
      <c r="A5553" s="140" t="s">
        <v>38</v>
      </c>
      <c r="B5553" s="26">
        <v>44124</v>
      </c>
      <c r="C5553" s="4">
        <v>402</v>
      </c>
      <c r="D5553" s="29">
        <f t="shared" si="509"/>
        <v>12094</v>
      </c>
      <c r="E5553" s="4">
        <f>2+3</f>
        <v>5</v>
      </c>
      <c r="F5553" s="129">
        <f t="shared" si="510"/>
        <v>215</v>
      </c>
    </row>
    <row r="5554" spans="1:6" x14ac:dyDescent="0.25">
      <c r="A5554" s="140" t="s">
        <v>48</v>
      </c>
      <c r="B5554" s="26">
        <v>44124</v>
      </c>
      <c r="C5554" s="4">
        <v>-4</v>
      </c>
      <c r="D5554" s="29">
        <f t="shared" si="509"/>
        <v>140</v>
      </c>
      <c r="F5554" s="129">
        <f t="shared" si="510"/>
        <v>1</v>
      </c>
    </row>
    <row r="5555" spans="1:6" x14ac:dyDescent="0.25">
      <c r="A5555" s="140" t="s">
        <v>39</v>
      </c>
      <c r="B5555" s="26">
        <v>44124</v>
      </c>
      <c r="C5555" s="4">
        <v>59</v>
      </c>
      <c r="D5555" s="29">
        <f t="shared" si="509"/>
        <v>17344</v>
      </c>
      <c r="E5555" s="4">
        <f>2+2</f>
        <v>4</v>
      </c>
      <c r="F5555" s="129">
        <f t="shared" si="510"/>
        <v>738</v>
      </c>
    </row>
    <row r="5556" spans="1:6" x14ac:dyDescent="0.25">
      <c r="A5556" s="140" t="s">
        <v>40</v>
      </c>
      <c r="B5556" s="26">
        <v>44124</v>
      </c>
      <c r="C5556" s="4">
        <v>98</v>
      </c>
      <c r="D5556" s="29">
        <f t="shared" si="509"/>
        <v>1808</v>
      </c>
      <c r="E5556" s="4">
        <f>1+1</f>
        <v>2</v>
      </c>
      <c r="F5556" s="129">
        <f t="shared" si="510"/>
        <v>18</v>
      </c>
    </row>
    <row r="5557" spans="1:6" x14ac:dyDescent="0.25">
      <c r="A5557" s="140" t="s">
        <v>28</v>
      </c>
      <c r="B5557" s="26">
        <v>44124</v>
      </c>
      <c r="C5557" s="4">
        <v>41</v>
      </c>
      <c r="D5557" s="29">
        <f t="shared" si="509"/>
        <v>6665</v>
      </c>
      <c r="E5557" s="4">
        <f>1+1</f>
        <v>2</v>
      </c>
      <c r="F5557" s="129">
        <f t="shared" si="510"/>
        <v>228</v>
      </c>
    </row>
    <row r="5558" spans="1:6" x14ac:dyDescent="0.25">
      <c r="A5558" s="140" t="s">
        <v>24</v>
      </c>
      <c r="B5558" s="26">
        <v>44124</v>
      </c>
      <c r="C5558" s="4">
        <v>968</v>
      </c>
      <c r="D5558" s="29">
        <f t="shared" si="509"/>
        <v>38814</v>
      </c>
      <c r="E5558" s="4">
        <f>7+2</f>
        <v>9</v>
      </c>
      <c r="F5558" s="129">
        <f t="shared" si="510"/>
        <v>634</v>
      </c>
    </row>
    <row r="5559" spans="1:6" x14ac:dyDescent="0.25">
      <c r="A5559" s="140" t="s">
        <v>30</v>
      </c>
      <c r="B5559" s="26">
        <v>44124</v>
      </c>
      <c r="C5559" s="4">
        <v>-2</v>
      </c>
      <c r="D5559" s="29">
        <f t="shared" si="509"/>
        <v>195</v>
      </c>
      <c r="F5559" s="129">
        <f t="shared" si="510"/>
        <v>4</v>
      </c>
    </row>
    <row r="5560" spans="1:6" x14ac:dyDescent="0.25">
      <c r="A5560" s="140" t="s">
        <v>26</v>
      </c>
      <c r="B5560" s="26">
        <v>44124</v>
      </c>
      <c r="C5560" s="4">
        <v>1305</v>
      </c>
      <c r="D5560" s="29">
        <f t="shared" si="509"/>
        <v>16659</v>
      </c>
      <c r="E5560" s="4">
        <f>5+2</f>
        <v>7</v>
      </c>
      <c r="F5560" s="129">
        <f t="shared" si="510"/>
        <v>289</v>
      </c>
    </row>
    <row r="5561" spans="1:6" x14ac:dyDescent="0.25">
      <c r="A5561" s="140" t="s">
        <v>25</v>
      </c>
      <c r="B5561" s="26">
        <v>44124</v>
      </c>
      <c r="C5561" s="4">
        <v>393</v>
      </c>
      <c r="D5561" s="29">
        <f t="shared" si="509"/>
        <v>19791</v>
      </c>
      <c r="E5561" s="4">
        <f>1+1</f>
        <v>2</v>
      </c>
      <c r="F5561" s="129">
        <f t="shared" si="510"/>
        <v>507</v>
      </c>
    </row>
    <row r="5562" spans="1:6" x14ac:dyDescent="0.25">
      <c r="A5562" s="140" t="s">
        <v>41</v>
      </c>
      <c r="B5562" s="26">
        <v>44124</v>
      </c>
      <c r="C5562" s="4">
        <v>201</v>
      </c>
      <c r="D5562" s="29">
        <f t="shared" si="509"/>
        <v>16913</v>
      </c>
      <c r="E5562" s="4">
        <v>7</v>
      </c>
      <c r="F5562" s="129">
        <f t="shared" si="510"/>
        <v>639</v>
      </c>
    </row>
    <row r="5563" spans="1:6" x14ac:dyDescent="0.25">
      <c r="A5563" s="140" t="s">
        <v>42</v>
      </c>
      <c r="B5563" s="26">
        <v>44124</v>
      </c>
      <c r="C5563" s="4">
        <v>5</v>
      </c>
      <c r="D5563" s="29">
        <f t="shared" si="509"/>
        <v>1307</v>
      </c>
      <c r="E5563" s="4">
        <f>1</f>
        <v>1</v>
      </c>
      <c r="F5563" s="129">
        <f t="shared" si="510"/>
        <v>76</v>
      </c>
    </row>
    <row r="5564" spans="1:6" x14ac:dyDescent="0.25">
      <c r="A5564" s="140" t="s">
        <v>43</v>
      </c>
      <c r="B5564" s="26">
        <v>44124</v>
      </c>
      <c r="C5564" s="4">
        <v>266</v>
      </c>
      <c r="D5564" s="29">
        <f t="shared" si="509"/>
        <v>3870</v>
      </c>
      <c r="F5564" s="129">
        <f t="shared" si="510"/>
        <v>51</v>
      </c>
    </row>
    <row r="5565" spans="1:6" x14ac:dyDescent="0.25">
      <c r="A5565" s="140" t="s">
        <v>44</v>
      </c>
      <c r="B5565" s="26">
        <v>44124</v>
      </c>
      <c r="C5565" s="4">
        <v>158</v>
      </c>
      <c r="D5565" s="29">
        <f t="shared" si="509"/>
        <v>7563</v>
      </c>
      <c r="E5565" s="4">
        <v>3</v>
      </c>
      <c r="F5565" s="129">
        <f t="shared" si="510"/>
        <v>102</v>
      </c>
    </row>
    <row r="5566" spans="1:6" x14ac:dyDescent="0.25">
      <c r="A5566" s="140" t="s">
        <v>29</v>
      </c>
      <c r="B5566" s="26">
        <v>44124</v>
      </c>
      <c r="C5566" s="4">
        <v>2575</v>
      </c>
      <c r="D5566" s="29">
        <f t="shared" si="509"/>
        <v>83449</v>
      </c>
      <c r="E5566" s="4">
        <f>33+27</f>
        <v>60</v>
      </c>
      <c r="F5566" s="129">
        <f t="shared" si="510"/>
        <v>917</v>
      </c>
    </row>
    <row r="5567" spans="1:6" x14ac:dyDescent="0.25">
      <c r="A5567" s="140" t="s">
        <v>45</v>
      </c>
      <c r="B5567" s="26">
        <v>44124</v>
      </c>
      <c r="C5567" s="4">
        <v>104</v>
      </c>
      <c r="D5567" s="29">
        <f t="shared" ref="D5567:D5568" si="511">C5567+D5543</f>
        <v>7064</v>
      </c>
      <c r="E5567" s="4">
        <f>2+1</f>
        <v>3</v>
      </c>
      <c r="F5567" s="129">
        <f t="shared" si="510"/>
        <v>103</v>
      </c>
    </row>
    <row r="5568" spans="1:6" x14ac:dyDescent="0.25">
      <c r="A5568" s="140" t="s">
        <v>46</v>
      </c>
      <c r="B5568" s="26">
        <v>44124</v>
      </c>
      <c r="C5568" s="4">
        <v>295</v>
      </c>
      <c r="D5568" s="29">
        <f t="shared" si="511"/>
        <v>8681</v>
      </c>
      <c r="E5568" s="4">
        <f>1</f>
        <v>1</v>
      </c>
      <c r="F5568" s="129">
        <f t="shared" si="510"/>
        <v>103</v>
      </c>
    </row>
    <row r="5569" spans="1:6" ht="15.75" thickBot="1" x14ac:dyDescent="0.3">
      <c r="A5569" s="142" t="s">
        <v>47</v>
      </c>
      <c r="B5569" s="46">
        <v>44124</v>
      </c>
      <c r="C5569" s="47">
        <v>1421</v>
      </c>
      <c r="D5569" s="29">
        <f t="shared" ref="D5569:D5590" si="512">C5569+D5545</f>
        <v>37544</v>
      </c>
      <c r="E5569" s="47">
        <f>9+6</f>
        <v>15</v>
      </c>
      <c r="F5569" s="139">
        <f t="shared" si="510"/>
        <v>488</v>
      </c>
    </row>
    <row r="5570" spans="1:6" x14ac:dyDescent="0.25">
      <c r="A5570" s="64" t="s">
        <v>22</v>
      </c>
      <c r="B5570" s="49">
        <v>44125</v>
      </c>
      <c r="C5570" s="50">
        <v>5179</v>
      </c>
      <c r="D5570" s="144">
        <f t="shared" si="512"/>
        <v>512590</v>
      </c>
      <c r="E5570" s="50">
        <f>52+54</f>
        <v>106</v>
      </c>
      <c r="F5570" s="128">
        <f t="shared" si="510"/>
        <v>16281</v>
      </c>
    </row>
    <row r="5571" spans="1:6" x14ac:dyDescent="0.25">
      <c r="A5571" s="140" t="s">
        <v>20</v>
      </c>
      <c r="B5571" s="26">
        <v>44125</v>
      </c>
      <c r="C5571" s="4">
        <v>740</v>
      </c>
      <c r="D5571" s="29">
        <f t="shared" si="512"/>
        <v>141930</v>
      </c>
      <c r="E5571" s="4">
        <f>30+22</f>
        <v>52</v>
      </c>
      <c r="F5571" s="129">
        <f t="shared" si="510"/>
        <v>4333</v>
      </c>
    </row>
    <row r="5572" spans="1:6" x14ac:dyDescent="0.25">
      <c r="A5572" s="140" t="s">
        <v>35</v>
      </c>
      <c r="B5572" s="26">
        <v>44125</v>
      </c>
      <c r="C5572" s="4">
        <v>25</v>
      </c>
      <c r="D5572" s="29">
        <f t="shared" si="512"/>
        <v>525</v>
      </c>
      <c r="F5572" s="129">
        <f t="shared" si="510"/>
        <v>0</v>
      </c>
    </row>
    <row r="5573" spans="1:6" x14ac:dyDescent="0.25">
      <c r="A5573" s="140" t="s">
        <v>21</v>
      </c>
      <c r="B5573" s="26">
        <v>44125</v>
      </c>
      <c r="C5573" s="4">
        <v>255</v>
      </c>
      <c r="D5573" s="29">
        <f t="shared" si="512"/>
        <v>12296</v>
      </c>
      <c r="E5573" s="4">
        <f>2+2</f>
        <v>4</v>
      </c>
      <c r="F5573" s="129">
        <f t="shared" si="510"/>
        <v>382</v>
      </c>
    </row>
    <row r="5574" spans="1:6" x14ac:dyDescent="0.25">
      <c r="A5574" s="140" t="s">
        <v>36</v>
      </c>
      <c r="B5574" s="26">
        <v>44125</v>
      </c>
      <c r="C5574" s="4">
        <v>531</v>
      </c>
      <c r="D5574" s="29">
        <f t="shared" si="512"/>
        <v>10258</v>
      </c>
      <c r="E5574" s="4">
        <f>2</f>
        <v>2</v>
      </c>
      <c r="F5574" s="129">
        <f t="shared" si="510"/>
        <v>194</v>
      </c>
    </row>
    <row r="5575" spans="1:6" x14ac:dyDescent="0.25">
      <c r="A5575" s="140" t="s">
        <v>27</v>
      </c>
      <c r="B5575" s="26">
        <v>44125</v>
      </c>
      <c r="C5575" s="4">
        <v>2480</v>
      </c>
      <c r="D5575" s="29">
        <f t="shared" si="512"/>
        <v>68767</v>
      </c>
      <c r="E5575" s="4">
        <f>29+26</f>
        <v>55</v>
      </c>
      <c r="F5575" s="129">
        <f t="shared" si="510"/>
        <v>978</v>
      </c>
    </row>
    <row r="5576" spans="1:6" x14ac:dyDescent="0.25">
      <c r="A5576" s="140" t="s">
        <v>37</v>
      </c>
      <c r="B5576" s="26">
        <v>44125</v>
      </c>
      <c r="C5576" s="4">
        <v>20</v>
      </c>
      <c r="D5576" s="29">
        <f t="shared" si="512"/>
        <v>2154</v>
      </c>
      <c r="F5576" s="129">
        <f t="shared" si="510"/>
        <v>36</v>
      </c>
    </row>
    <row r="5577" spans="1:6" x14ac:dyDescent="0.25">
      <c r="A5577" s="140" t="s">
        <v>38</v>
      </c>
      <c r="B5577" s="26">
        <v>44125</v>
      </c>
      <c r="C5577" s="4">
        <v>467</v>
      </c>
      <c r="D5577" s="29">
        <f t="shared" si="512"/>
        <v>12561</v>
      </c>
      <c r="E5577" s="4">
        <f>1+2</f>
        <v>3</v>
      </c>
      <c r="F5577" s="129">
        <f t="shared" si="510"/>
        <v>218</v>
      </c>
    </row>
    <row r="5578" spans="1:6" x14ac:dyDescent="0.25">
      <c r="A5578" s="140" t="s">
        <v>48</v>
      </c>
      <c r="B5578" s="26">
        <v>44125</v>
      </c>
      <c r="C5578" s="4">
        <v>7</v>
      </c>
      <c r="D5578" s="29">
        <f t="shared" si="512"/>
        <v>147</v>
      </c>
      <c r="F5578" s="129">
        <f t="shared" si="510"/>
        <v>1</v>
      </c>
    </row>
    <row r="5579" spans="1:6" x14ac:dyDescent="0.25">
      <c r="A5579" s="140" t="s">
        <v>39</v>
      </c>
      <c r="B5579" s="26">
        <v>44125</v>
      </c>
      <c r="C5579" s="4">
        <v>68</v>
      </c>
      <c r="D5579" s="29">
        <f t="shared" si="512"/>
        <v>17412</v>
      </c>
      <c r="E5579" s="4">
        <f>2+1</f>
        <v>3</v>
      </c>
      <c r="F5579" s="129">
        <f t="shared" si="510"/>
        <v>741</v>
      </c>
    </row>
    <row r="5580" spans="1:6" x14ac:dyDescent="0.25">
      <c r="A5580" s="140" t="s">
        <v>40</v>
      </c>
      <c r="B5580" s="26">
        <v>44125</v>
      </c>
      <c r="C5580" s="4">
        <v>161</v>
      </c>
      <c r="D5580" s="29">
        <f t="shared" si="512"/>
        <v>1969</v>
      </c>
      <c r="E5580" s="4">
        <f>2</f>
        <v>2</v>
      </c>
      <c r="F5580" s="129">
        <f t="shared" si="510"/>
        <v>20</v>
      </c>
    </row>
    <row r="5581" spans="1:6" x14ac:dyDescent="0.25">
      <c r="A5581" s="140" t="s">
        <v>28</v>
      </c>
      <c r="B5581" s="26">
        <v>44125</v>
      </c>
      <c r="C5581" s="4">
        <v>134</v>
      </c>
      <c r="D5581" s="29">
        <f t="shared" si="512"/>
        <v>6799</v>
      </c>
      <c r="E5581" s="4">
        <f>6</f>
        <v>6</v>
      </c>
      <c r="F5581" s="129">
        <f t="shared" si="510"/>
        <v>234</v>
      </c>
    </row>
    <row r="5582" spans="1:6" x14ac:dyDescent="0.25">
      <c r="A5582" s="140" t="s">
        <v>24</v>
      </c>
      <c r="B5582" s="26">
        <v>44125</v>
      </c>
      <c r="C5582" s="4">
        <v>1155</v>
      </c>
      <c r="D5582" s="29">
        <f t="shared" si="512"/>
        <v>39969</v>
      </c>
      <c r="E5582" s="4">
        <f>14+7</f>
        <v>21</v>
      </c>
      <c r="F5582" s="129">
        <f t="shared" si="510"/>
        <v>655</v>
      </c>
    </row>
    <row r="5583" spans="1:6" x14ac:dyDescent="0.25">
      <c r="A5583" s="140" t="s">
        <v>30</v>
      </c>
      <c r="B5583" s="26">
        <v>44125</v>
      </c>
      <c r="C5583" s="4">
        <v>3</v>
      </c>
      <c r="D5583" s="29">
        <f t="shared" si="512"/>
        <v>198</v>
      </c>
      <c r="F5583" s="129">
        <f t="shared" si="510"/>
        <v>4</v>
      </c>
    </row>
    <row r="5584" spans="1:6" x14ac:dyDescent="0.25">
      <c r="A5584" s="140" t="s">
        <v>26</v>
      </c>
      <c r="B5584" s="26">
        <v>44125</v>
      </c>
      <c r="C5584" s="4">
        <v>976</v>
      </c>
      <c r="D5584" s="29">
        <f t="shared" si="512"/>
        <v>17635</v>
      </c>
      <c r="E5584" s="4">
        <f>21+7</f>
        <v>28</v>
      </c>
      <c r="F5584" s="129">
        <f t="shared" si="510"/>
        <v>317</v>
      </c>
    </row>
    <row r="5585" spans="1:6" x14ac:dyDescent="0.25">
      <c r="A5585" s="140" t="s">
        <v>25</v>
      </c>
      <c r="B5585" s="26">
        <v>44125</v>
      </c>
      <c r="C5585" s="4">
        <v>536</v>
      </c>
      <c r="D5585" s="29">
        <f t="shared" si="512"/>
        <v>20327</v>
      </c>
      <c r="E5585" s="4">
        <f>7+5</f>
        <v>12</v>
      </c>
      <c r="F5585" s="129">
        <f t="shared" si="510"/>
        <v>519</v>
      </c>
    </row>
    <row r="5586" spans="1:6" x14ac:dyDescent="0.25">
      <c r="A5586" s="140" t="s">
        <v>41</v>
      </c>
      <c r="B5586" s="26">
        <v>44125</v>
      </c>
      <c r="C5586" s="4">
        <v>254</v>
      </c>
      <c r="D5586" s="29">
        <f t="shared" si="512"/>
        <v>17167</v>
      </c>
      <c r="E5586" s="4">
        <f>7+6</f>
        <v>13</v>
      </c>
      <c r="F5586" s="129">
        <f t="shared" si="510"/>
        <v>652</v>
      </c>
    </row>
    <row r="5587" spans="1:6" x14ac:dyDescent="0.25">
      <c r="A5587" s="140" t="s">
        <v>42</v>
      </c>
      <c r="B5587" s="26">
        <v>44125</v>
      </c>
      <c r="C5587" s="4">
        <v>8</v>
      </c>
      <c r="D5587" s="29">
        <f t="shared" si="512"/>
        <v>1315</v>
      </c>
      <c r="F5587" s="129">
        <f t="shared" si="510"/>
        <v>76</v>
      </c>
    </row>
    <row r="5588" spans="1:6" x14ac:dyDescent="0.25">
      <c r="A5588" s="140" t="s">
        <v>43</v>
      </c>
      <c r="B5588" s="26">
        <v>44125</v>
      </c>
      <c r="C5588" s="4">
        <v>507</v>
      </c>
      <c r="D5588" s="29">
        <f t="shared" si="512"/>
        <v>4377</v>
      </c>
      <c r="F5588" s="129">
        <f t="shared" si="510"/>
        <v>51</v>
      </c>
    </row>
    <row r="5589" spans="1:6" x14ac:dyDescent="0.25">
      <c r="A5589" s="140" t="s">
        <v>44</v>
      </c>
      <c r="B5589" s="26">
        <v>44125</v>
      </c>
      <c r="C5589" s="4">
        <v>197</v>
      </c>
      <c r="D5589" s="29">
        <f t="shared" si="512"/>
        <v>7760</v>
      </c>
      <c r="E5589" s="4">
        <f>1</f>
        <v>1</v>
      </c>
      <c r="F5589" s="129">
        <f t="shared" si="510"/>
        <v>103</v>
      </c>
    </row>
    <row r="5590" spans="1:6" x14ac:dyDescent="0.25">
      <c r="A5590" s="140" t="s">
        <v>29</v>
      </c>
      <c r="B5590" s="26">
        <v>44125</v>
      </c>
      <c r="C5590" s="4">
        <v>2673</v>
      </c>
      <c r="D5590" s="29">
        <f t="shared" si="512"/>
        <v>86122</v>
      </c>
      <c r="E5590" s="4">
        <f>29+23</f>
        <v>52</v>
      </c>
      <c r="F5590" s="129">
        <f t="shared" si="510"/>
        <v>969</v>
      </c>
    </row>
    <row r="5591" spans="1:6" x14ac:dyDescent="0.25">
      <c r="A5591" s="140" t="s">
        <v>45</v>
      </c>
      <c r="B5591" s="26">
        <v>44125</v>
      </c>
      <c r="C5591" s="4">
        <v>185</v>
      </c>
      <c r="D5591" s="29">
        <f t="shared" ref="D5591:D5592" si="513">C5591+D5567</f>
        <v>7249</v>
      </c>
      <c r="E5591" s="4">
        <f>1</f>
        <v>1</v>
      </c>
      <c r="F5591" s="129">
        <f t="shared" si="510"/>
        <v>104</v>
      </c>
    </row>
    <row r="5592" spans="1:6" x14ac:dyDescent="0.25">
      <c r="A5592" s="140" t="s">
        <v>46</v>
      </c>
      <c r="B5592" s="26">
        <v>44125</v>
      </c>
      <c r="C5592" s="4">
        <v>205</v>
      </c>
      <c r="D5592" s="29">
        <f t="shared" si="513"/>
        <v>8886</v>
      </c>
      <c r="E5592" s="4">
        <f>4</f>
        <v>4</v>
      </c>
      <c r="F5592" s="129">
        <f t="shared" si="510"/>
        <v>107</v>
      </c>
    </row>
    <row r="5593" spans="1:6" ht="15.75" thickBot="1" x14ac:dyDescent="0.3">
      <c r="A5593" s="141" t="s">
        <v>47</v>
      </c>
      <c r="B5593" s="53">
        <v>44125</v>
      </c>
      <c r="C5593" s="54">
        <v>1560</v>
      </c>
      <c r="D5593" s="29">
        <f t="shared" ref="D5593:D5614" si="514">C5593+D5569</f>
        <v>39104</v>
      </c>
      <c r="E5593" s="54">
        <f>38+20</f>
        <v>58</v>
      </c>
      <c r="F5593" s="139">
        <f t="shared" si="510"/>
        <v>546</v>
      </c>
    </row>
    <row r="5594" spans="1:6" ht="15.75" thickBot="1" x14ac:dyDescent="0.3">
      <c r="A5594" s="64" t="s">
        <v>22</v>
      </c>
      <c r="B5594" s="49">
        <v>44126</v>
      </c>
      <c r="C5594" s="50">
        <v>4854</v>
      </c>
      <c r="D5594" s="144">
        <f t="shared" si="514"/>
        <v>517444</v>
      </c>
      <c r="E5594" s="50">
        <f>106+86</f>
        <v>192</v>
      </c>
      <c r="F5594" s="128">
        <f t="shared" si="510"/>
        <v>16473</v>
      </c>
    </row>
    <row r="5595" spans="1:6" ht="15.75" thickBot="1" x14ac:dyDescent="0.3">
      <c r="A5595" s="140" t="s">
        <v>20</v>
      </c>
      <c r="B5595" s="49">
        <v>44126</v>
      </c>
      <c r="C5595" s="4">
        <v>566</v>
      </c>
      <c r="D5595" s="29">
        <f t="shared" si="514"/>
        <v>142496</v>
      </c>
      <c r="E5595" s="4">
        <f>31+21</f>
        <v>52</v>
      </c>
      <c r="F5595" s="129">
        <f t="shared" si="510"/>
        <v>4385</v>
      </c>
    </row>
    <row r="5596" spans="1:6" ht="15.75" thickBot="1" x14ac:dyDescent="0.3">
      <c r="A5596" s="140" t="s">
        <v>35</v>
      </c>
      <c r="B5596" s="49">
        <v>44126</v>
      </c>
      <c r="C5596" s="4">
        <v>27</v>
      </c>
      <c r="D5596" s="29">
        <f t="shared" si="514"/>
        <v>552</v>
      </c>
      <c r="F5596" s="129">
        <f t="shared" si="510"/>
        <v>0</v>
      </c>
    </row>
    <row r="5597" spans="1:6" ht="15.75" thickBot="1" x14ac:dyDescent="0.3">
      <c r="A5597" s="140" t="s">
        <v>21</v>
      </c>
      <c r="B5597" s="49">
        <v>44126</v>
      </c>
      <c r="C5597" s="4">
        <v>254</v>
      </c>
      <c r="D5597" s="29">
        <f t="shared" si="514"/>
        <v>12550</v>
      </c>
      <c r="E5597" s="4">
        <f>5+2</f>
        <v>7</v>
      </c>
      <c r="F5597" s="129">
        <f t="shared" si="510"/>
        <v>389</v>
      </c>
    </row>
    <row r="5598" spans="1:6" ht="15.75" thickBot="1" x14ac:dyDescent="0.3">
      <c r="A5598" s="140" t="s">
        <v>36</v>
      </c>
      <c r="B5598" s="49">
        <v>44126</v>
      </c>
      <c r="C5598" s="4">
        <v>670</v>
      </c>
      <c r="D5598" s="29">
        <f t="shared" si="514"/>
        <v>10928</v>
      </c>
      <c r="E5598" s="4">
        <f>2+2</f>
        <v>4</v>
      </c>
      <c r="F5598" s="129">
        <f t="shared" si="510"/>
        <v>198</v>
      </c>
    </row>
    <row r="5599" spans="1:6" ht="15.75" thickBot="1" x14ac:dyDescent="0.3">
      <c r="A5599" s="140" t="s">
        <v>27</v>
      </c>
      <c r="B5599" s="49">
        <v>44126</v>
      </c>
      <c r="C5599" s="4">
        <v>1857</v>
      </c>
      <c r="D5599" s="29">
        <f t="shared" si="514"/>
        <v>70624</v>
      </c>
      <c r="E5599" s="4">
        <f>21+8</f>
        <v>29</v>
      </c>
      <c r="F5599" s="129">
        <f t="shared" si="510"/>
        <v>1007</v>
      </c>
    </row>
    <row r="5600" spans="1:6" ht="15.75" thickBot="1" x14ac:dyDescent="0.3">
      <c r="A5600" s="140" t="s">
        <v>37</v>
      </c>
      <c r="B5600" s="49">
        <v>44126</v>
      </c>
      <c r="C5600" s="4">
        <v>34</v>
      </c>
      <c r="D5600" s="29">
        <f t="shared" si="514"/>
        <v>2188</v>
      </c>
      <c r="F5600" s="129">
        <f t="shared" si="510"/>
        <v>36</v>
      </c>
    </row>
    <row r="5601" spans="1:6" ht="15.75" thickBot="1" x14ac:dyDescent="0.3">
      <c r="A5601" s="140" t="s">
        <v>38</v>
      </c>
      <c r="B5601" s="49">
        <v>44126</v>
      </c>
      <c r="C5601" s="4">
        <v>393</v>
      </c>
      <c r="D5601" s="29">
        <f t="shared" si="514"/>
        <v>12954</v>
      </c>
      <c r="E5601" s="4">
        <f>2+2</f>
        <v>4</v>
      </c>
      <c r="F5601" s="129">
        <f t="shared" si="510"/>
        <v>222</v>
      </c>
    </row>
    <row r="5602" spans="1:6" ht="15.75" thickBot="1" x14ac:dyDescent="0.3">
      <c r="A5602" s="140" t="s">
        <v>48</v>
      </c>
      <c r="B5602" s="49">
        <v>44126</v>
      </c>
      <c r="C5602" s="4">
        <v>-7</v>
      </c>
      <c r="D5602" s="29">
        <f t="shared" si="514"/>
        <v>140</v>
      </c>
      <c r="F5602" s="129">
        <f t="shared" si="510"/>
        <v>1</v>
      </c>
    </row>
    <row r="5603" spans="1:6" ht="15.75" thickBot="1" x14ac:dyDescent="0.3">
      <c r="A5603" s="140" t="s">
        <v>39</v>
      </c>
      <c r="B5603" s="49">
        <v>44126</v>
      </c>
      <c r="C5603" s="4">
        <v>59</v>
      </c>
      <c r="D5603" s="29">
        <f t="shared" si="514"/>
        <v>17471</v>
      </c>
      <c r="E5603" s="4">
        <f>5+1</f>
        <v>6</v>
      </c>
      <c r="F5603" s="129">
        <f t="shared" si="510"/>
        <v>747</v>
      </c>
    </row>
    <row r="5604" spans="1:6" ht="15.75" thickBot="1" x14ac:dyDescent="0.3">
      <c r="A5604" s="140" t="s">
        <v>40</v>
      </c>
      <c r="B5604" s="49">
        <v>44126</v>
      </c>
      <c r="C5604" s="4">
        <v>161</v>
      </c>
      <c r="D5604" s="29">
        <f t="shared" si="514"/>
        <v>2130</v>
      </c>
      <c r="E5604" s="4">
        <f>3</f>
        <v>3</v>
      </c>
      <c r="F5604" s="129">
        <f t="shared" si="510"/>
        <v>23</v>
      </c>
    </row>
    <row r="5605" spans="1:6" ht="15.75" thickBot="1" x14ac:dyDescent="0.3">
      <c r="A5605" s="140" t="s">
        <v>28</v>
      </c>
      <c r="B5605" s="49">
        <v>44126</v>
      </c>
      <c r="C5605" s="4">
        <v>62</v>
      </c>
      <c r="D5605" s="29">
        <f t="shared" si="514"/>
        <v>6861</v>
      </c>
      <c r="F5605" s="129">
        <f t="shared" si="510"/>
        <v>234</v>
      </c>
    </row>
    <row r="5606" spans="1:6" ht="15.75" thickBot="1" x14ac:dyDescent="0.3">
      <c r="A5606" s="140" t="s">
        <v>24</v>
      </c>
      <c r="B5606" s="49">
        <v>44126</v>
      </c>
      <c r="C5606" s="4">
        <v>936</v>
      </c>
      <c r="D5606" s="29">
        <f t="shared" si="514"/>
        <v>40905</v>
      </c>
      <c r="E5606" s="4">
        <f>11+6</f>
        <v>17</v>
      </c>
      <c r="F5606" s="129">
        <f t="shared" si="510"/>
        <v>672</v>
      </c>
    </row>
    <row r="5607" spans="1:6" ht="15.75" thickBot="1" x14ac:dyDescent="0.3">
      <c r="A5607" s="140" t="s">
        <v>30</v>
      </c>
      <c r="B5607" s="49">
        <v>44126</v>
      </c>
      <c r="C5607" s="4">
        <v>9</v>
      </c>
      <c r="D5607" s="29">
        <f t="shared" si="514"/>
        <v>207</v>
      </c>
      <c r="F5607" s="129">
        <f t="shared" si="510"/>
        <v>4</v>
      </c>
    </row>
    <row r="5608" spans="1:6" ht="15.75" thickBot="1" x14ac:dyDescent="0.3">
      <c r="A5608" s="140" t="s">
        <v>26</v>
      </c>
      <c r="B5608" s="49">
        <v>44126</v>
      </c>
      <c r="C5608" s="4">
        <v>567</v>
      </c>
      <c r="D5608" s="29">
        <f t="shared" si="514"/>
        <v>18202</v>
      </c>
      <c r="E5608" s="4">
        <f>1</f>
        <v>1</v>
      </c>
      <c r="F5608" s="129">
        <f t="shared" si="510"/>
        <v>318</v>
      </c>
    </row>
    <row r="5609" spans="1:6" ht="15.75" thickBot="1" x14ac:dyDescent="0.3">
      <c r="A5609" s="140" t="s">
        <v>25</v>
      </c>
      <c r="B5609" s="49">
        <v>44126</v>
      </c>
      <c r="C5609" s="4">
        <v>511</v>
      </c>
      <c r="D5609" s="29">
        <f t="shared" si="514"/>
        <v>20838</v>
      </c>
      <c r="E5609" s="4">
        <f>6+3</f>
        <v>9</v>
      </c>
      <c r="F5609" s="129">
        <f t="shared" si="510"/>
        <v>528</v>
      </c>
    </row>
    <row r="5610" spans="1:6" ht="15.75" thickBot="1" x14ac:dyDescent="0.3">
      <c r="A5610" s="140" t="s">
        <v>41</v>
      </c>
      <c r="B5610" s="49">
        <v>44126</v>
      </c>
      <c r="C5610" s="4">
        <v>287</v>
      </c>
      <c r="D5610" s="29">
        <f t="shared" si="514"/>
        <v>17454</v>
      </c>
      <c r="E5610" s="4">
        <f>14+4</f>
        <v>18</v>
      </c>
      <c r="F5610" s="129">
        <f t="shared" ref="F5610:F5673" si="515">E5610+F5586</f>
        <v>670</v>
      </c>
    </row>
    <row r="5611" spans="1:6" ht="15.75" thickBot="1" x14ac:dyDescent="0.3">
      <c r="A5611" s="140" t="s">
        <v>42</v>
      </c>
      <c r="B5611" s="49">
        <v>44126</v>
      </c>
      <c r="C5611" s="4">
        <v>7</v>
      </c>
      <c r="D5611" s="29">
        <f t="shared" si="514"/>
        <v>1322</v>
      </c>
      <c r="F5611" s="129">
        <f t="shared" si="515"/>
        <v>76</v>
      </c>
    </row>
    <row r="5612" spans="1:6" ht="15.75" thickBot="1" x14ac:dyDescent="0.3">
      <c r="A5612" s="140" t="s">
        <v>43</v>
      </c>
      <c r="B5612" s="49">
        <v>44126</v>
      </c>
      <c r="C5612" s="4">
        <v>369</v>
      </c>
      <c r="D5612" s="29">
        <f t="shared" si="514"/>
        <v>4746</v>
      </c>
      <c r="E5612" s="4">
        <f>1</f>
        <v>1</v>
      </c>
      <c r="F5612" s="129">
        <f t="shared" si="515"/>
        <v>52</v>
      </c>
    </row>
    <row r="5613" spans="1:6" ht="15.75" thickBot="1" x14ac:dyDescent="0.3">
      <c r="A5613" s="140" t="s">
        <v>44</v>
      </c>
      <c r="B5613" s="49">
        <v>44126</v>
      </c>
      <c r="C5613" s="4">
        <v>195</v>
      </c>
      <c r="D5613" s="29">
        <f t="shared" si="514"/>
        <v>7955</v>
      </c>
      <c r="E5613" s="4">
        <f>3+2</f>
        <v>5</v>
      </c>
      <c r="F5613" s="129">
        <f t="shared" si="515"/>
        <v>108</v>
      </c>
    </row>
    <row r="5614" spans="1:6" ht="15.75" thickBot="1" x14ac:dyDescent="0.3">
      <c r="A5614" s="140" t="s">
        <v>29</v>
      </c>
      <c r="B5614" s="49">
        <v>44126</v>
      </c>
      <c r="C5614" s="4">
        <v>2536</v>
      </c>
      <c r="D5614" s="29">
        <f t="shared" si="514"/>
        <v>88658</v>
      </c>
      <c r="E5614" s="4">
        <f>21+17</f>
        <v>38</v>
      </c>
      <c r="F5614" s="129">
        <f t="shared" si="515"/>
        <v>1007</v>
      </c>
    </row>
    <row r="5615" spans="1:6" ht="15.75" thickBot="1" x14ac:dyDescent="0.3">
      <c r="A5615" s="140" t="s">
        <v>45</v>
      </c>
      <c r="B5615" s="49">
        <v>44126</v>
      </c>
      <c r="C5615" s="4">
        <v>247</v>
      </c>
      <c r="D5615" s="29">
        <f t="shared" ref="D5615:D5616" si="516">C5615+D5591</f>
        <v>7496</v>
      </c>
      <c r="E5615" s="4">
        <f>2</f>
        <v>2</v>
      </c>
      <c r="F5615" s="129">
        <f t="shared" si="515"/>
        <v>106</v>
      </c>
    </row>
    <row r="5616" spans="1:6" ht="15.75" thickBot="1" x14ac:dyDescent="0.3">
      <c r="A5616" s="140" t="s">
        <v>46</v>
      </c>
      <c r="B5616" s="49">
        <v>44126</v>
      </c>
      <c r="C5616" s="4">
        <v>254</v>
      </c>
      <c r="D5616" s="29">
        <f t="shared" si="516"/>
        <v>9140</v>
      </c>
      <c r="E5616" s="4">
        <f>4+1</f>
        <v>5</v>
      </c>
      <c r="F5616" s="129">
        <f t="shared" si="515"/>
        <v>112</v>
      </c>
    </row>
    <row r="5617" spans="1:6" ht="15.75" thickBot="1" x14ac:dyDescent="0.3">
      <c r="A5617" s="141" t="s">
        <v>47</v>
      </c>
      <c r="B5617" s="49">
        <v>44126</v>
      </c>
      <c r="C5617" s="54">
        <v>1477</v>
      </c>
      <c r="D5617" s="29">
        <f t="shared" ref="D5617:D5638" si="517">C5617+D5593</f>
        <v>40581</v>
      </c>
      <c r="E5617" s="54">
        <f>26+15</f>
        <v>41</v>
      </c>
      <c r="F5617" s="139">
        <f t="shared" si="515"/>
        <v>587</v>
      </c>
    </row>
    <row r="5618" spans="1:6" ht="15.75" thickBot="1" x14ac:dyDescent="0.3">
      <c r="A5618" s="64" t="s">
        <v>22</v>
      </c>
      <c r="B5618" s="49">
        <v>44127</v>
      </c>
      <c r="C5618" s="4">
        <v>4649</v>
      </c>
      <c r="D5618" s="144">
        <f t="shared" si="517"/>
        <v>522093</v>
      </c>
      <c r="E5618" s="4">
        <f>83+56</f>
        <v>139</v>
      </c>
      <c r="F5618" s="128">
        <f t="shared" si="515"/>
        <v>16612</v>
      </c>
    </row>
    <row r="5619" spans="1:6" ht="15.75" thickBot="1" x14ac:dyDescent="0.3">
      <c r="A5619" s="140" t="s">
        <v>20</v>
      </c>
      <c r="B5619" s="49">
        <v>44127</v>
      </c>
      <c r="C5619" s="4">
        <v>585</v>
      </c>
      <c r="D5619" s="29">
        <f t="shared" si="517"/>
        <v>143081</v>
      </c>
      <c r="E5619" s="4">
        <f>1+28+24</f>
        <v>53</v>
      </c>
      <c r="F5619" s="129">
        <f t="shared" si="515"/>
        <v>4438</v>
      </c>
    </row>
    <row r="5620" spans="1:6" ht="15.75" thickBot="1" x14ac:dyDescent="0.3">
      <c r="A5620" s="140" t="s">
        <v>35</v>
      </c>
      <c r="B5620" s="49">
        <v>44127</v>
      </c>
      <c r="C5620" s="4">
        <v>11</v>
      </c>
      <c r="D5620" s="29">
        <f t="shared" si="517"/>
        <v>563</v>
      </c>
      <c r="F5620" s="129">
        <f t="shared" si="515"/>
        <v>0</v>
      </c>
    </row>
    <row r="5621" spans="1:6" ht="15.75" thickBot="1" x14ac:dyDescent="0.3">
      <c r="A5621" s="140" t="s">
        <v>21</v>
      </c>
      <c r="B5621" s="49">
        <v>44127</v>
      </c>
      <c r="C5621" s="4">
        <v>231</v>
      </c>
      <c r="D5621" s="29">
        <f t="shared" si="517"/>
        <v>12781</v>
      </c>
      <c r="E5621" s="4">
        <f>4+1</f>
        <v>5</v>
      </c>
      <c r="F5621" s="129">
        <f t="shared" si="515"/>
        <v>394</v>
      </c>
    </row>
    <row r="5622" spans="1:6" ht="15.75" thickBot="1" x14ac:dyDescent="0.3">
      <c r="A5622" s="140" t="s">
        <v>36</v>
      </c>
      <c r="B5622" s="49">
        <v>44127</v>
      </c>
      <c r="C5622" s="4">
        <v>673</v>
      </c>
      <c r="D5622" s="29">
        <f t="shared" si="517"/>
        <v>11601</v>
      </c>
      <c r="E5622" s="4">
        <f>5+3</f>
        <v>8</v>
      </c>
      <c r="F5622" s="129">
        <f t="shared" si="515"/>
        <v>206</v>
      </c>
    </row>
    <row r="5623" spans="1:6" ht="15.75" thickBot="1" x14ac:dyDescent="0.3">
      <c r="A5623" s="140" t="s">
        <v>27</v>
      </c>
      <c r="B5623" s="49">
        <v>44127</v>
      </c>
      <c r="C5623" s="4">
        <v>2134</v>
      </c>
      <c r="D5623" s="29">
        <f t="shared" si="517"/>
        <v>72758</v>
      </c>
      <c r="E5623" s="4">
        <f>26+13</f>
        <v>39</v>
      </c>
      <c r="F5623" s="129">
        <f t="shared" si="515"/>
        <v>1046</v>
      </c>
    </row>
    <row r="5624" spans="1:6" ht="15.75" thickBot="1" x14ac:dyDescent="0.3">
      <c r="A5624" s="140" t="s">
        <v>37</v>
      </c>
      <c r="B5624" s="49">
        <v>44127</v>
      </c>
      <c r="C5624" s="4">
        <v>12</v>
      </c>
      <c r="D5624" s="29">
        <f t="shared" si="517"/>
        <v>2200</v>
      </c>
      <c r="E5624" s="4">
        <f>2+2</f>
        <v>4</v>
      </c>
      <c r="F5624" s="129">
        <f t="shared" si="515"/>
        <v>40</v>
      </c>
    </row>
    <row r="5625" spans="1:6" ht="15.75" thickBot="1" x14ac:dyDescent="0.3">
      <c r="A5625" s="140" t="s">
        <v>38</v>
      </c>
      <c r="B5625" s="49">
        <v>44127</v>
      </c>
      <c r="C5625" s="4">
        <v>475</v>
      </c>
      <c r="D5625" s="29">
        <f t="shared" si="517"/>
        <v>13429</v>
      </c>
      <c r="E5625" s="4">
        <f>3+2</f>
        <v>5</v>
      </c>
      <c r="F5625" s="129">
        <f t="shared" si="515"/>
        <v>227</v>
      </c>
    </row>
    <row r="5626" spans="1:6" ht="15.75" thickBot="1" x14ac:dyDescent="0.3">
      <c r="A5626" s="140" t="s">
        <v>48</v>
      </c>
      <c r="B5626" s="49">
        <v>44127</v>
      </c>
      <c r="C5626" s="4">
        <v>2</v>
      </c>
      <c r="D5626" s="29">
        <f t="shared" si="517"/>
        <v>142</v>
      </c>
      <c r="F5626" s="129">
        <f t="shared" si="515"/>
        <v>1</v>
      </c>
    </row>
    <row r="5627" spans="1:6" ht="15.75" thickBot="1" x14ac:dyDescent="0.3">
      <c r="A5627" s="140" t="s">
        <v>39</v>
      </c>
      <c r="B5627" s="49">
        <v>44127</v>
      </c>
      <c r="C5627" s="4">
        <v>46</v>
      </c>
      <c r="D5627" s="29">
        <f t="shared" si="517"/>
        <v>17517</v>
      </c>
      <c r="E5627" s="4">
        <f>15+6</f>
        <v>21</v>
      </c>
      <c r="F5627" s="129">
        <f t="shared" si="515"/>
        <v>768</v>
      </c>
    </row>
    <row r="5628" spans="1:6" ht="15.75" thickBot="1" x14ac:dyDescent="0.3">
      <c r="A5628" s="140" t="s">
        <v>40</v>
      </c>
      <c r="B5628" s="49">
        <v>44127</v>
      </c>
      <c r="C5628" s="4">
        <v>129</v>
      </c>
      <c r="D5628" s="29">
        <f t="shared" si="517"/>
        <v>2259</v>
      </c>
      <c r="E5628" s="4">
        <f>2</f>
        <v>2</v>
      </c>
      <c r="F5628" s="129">
        <f t="shared" si="515"/>
        <v>25</v>
      </c>
    </row>
    <row r="5629" spans="1:6" ht="15.75" thickBot="1" x14ac:dyDescent="0.3">
      <c r="A5629" s="140" t="s">
        <v>28</v>
      </c>
      <c r="B5629" s="49">
        <v>44127</v>
      </c>
      <c r="C5629" s="4">
        <v>109</v>
      </c>
      <c r="D5629" s="29">
        <f t="shared" si="517"/>
        <v>6970</v>
      </c>
      <c r="E5629" s="4">
        <f>5</f>
        <v>5</v>
      </c>
      <c r="F5629" s="129">
        <f t="shared" si="515"/>
        <v>239</v>
      </c>
    </row>
    <row r="5630" spans="1:6" ht="15.75" thickBot="1" x14ac:dyDescent="0.3">
      <c r="A5630" s="140" t="s">
        <v>24</v>
      </c>
      <c r="B5630" s="49">
        <v>44127</v>
      </c>
      <c r="C5630" s="4">
        <v>830</v>
      </c>
      <c r="D5630" s="29">
        <f t="shared" si="517"/>
        <v>41735</v>
      </c>
      <c r="E5630" s="4">
        <f>7+4</f>
        <v>11</v>
      </c>
      <c r="F5630" s="129">
        <f t="shared" si="515"/>
        <v>683</v>
      </c>
    </row>
    <row r="5631" spans="1:6" ht="15.75" thickBot="1" x14ac:dyDescent="0.3">
      <c r="A5631" s="140" t="s">
        <v>30</v>
      </c>
      <c r="B5631" s="49">
        <v>44127</v>
      </c>
      <c r="C5631" s="4">
        <v>2</v>
      </c>
      <c r="D5631" s="29">
        <f t="shared" si="517"/>
        <v>209</v>
      </c>
      <c r="F5631" s="129">
        <f t="shared" si="515"/>
        <v>4</v>
      </c>
    </row>
    <row r="5632" spans="1:6" ht="15.75" thickBot="1" x14ac:dyDescent="0.3">
      <c r="A5632" s="140" t="s">
        <v>26</v>
      </c>
      <c r="B5632" s="49">
        <v>44127</v>
      </c>
      <c r="C5632" s="4">
        <v>411</v>
      </c>
      <c r="D5632" s="29">
        <f t="shared" si="517"/>
        <v>18613</v>
      </c>
      <c r="E5632" s="4">
        <f>10+7</f>
        <v>17</v>
      </c>
      <c r="F5632" s="129">
        <f t="shared" si="515"/>
        <v>335</v>
      </c>
    </row>
    <row r="5633" spans="1:6" ht="15.75" thickBot="1" x14ac:dyDescent="0.3">
      <c r="A5633" s="140" t="s">
        <v>25</v>
      </c>
      <c r="B5633" s="49">
        <v>44127</v>
      </c>
      <c r="C5633" s="4">
        <v>417</v>
      </c>
      <c r="D5633" s="29">
        <f t="shared" si="517"/>
        <v>21255</v>
      </c>
      <c r="E5633" s="4">
        <f>4+7</f>
        <v>11</v>
      </c>
      <c r="F5633" s="129">
        <f t="shared" si="515"/>
        <v>539</v>
      </c>
    </row>
    <row r="5634" spans="1:6" ht="15.75" thickBot="1" x14ac:dyDescent="0.3">
      <c r="A5634" s="140" t="s">
        <v>41</v>
      </c>
      <c r="B5634" s="49">
        <v>44127</v>
      </c>
      <c r="C5634" s="4">
        <v>238</v>
      </c>
      <c r="D5634" s="29">
        <f t="shared" si="517"/>
        <v>17692</v>
      </c>
      <c r="E5634" s="4">
        <f>12+1</f>
        <v>13</v>
      </c>
      <c r="F5634" s="129">
        <f t="shared" si="515"/>
        <v>683</v>
      </c>
    </row>
    <row r="5635" spans="1:6" ht="15.75" thickBot="1" x14ac:dyDescent="0.3">
      <c r="A5635" s="140" t="s">
        <v>42</v>
      </c>
      <c r="B5635" s="49">
        <v>44127</v>
      </c>
      <c r="C5635" s="4">
        <v>52</v>
      </c>
      <c r="D5635" s="29">
        <f t="shared" si="517"/>
        <v>1374</v>
      </c>
      <c r="F5635" s="129">
        <f t="shared" si="515"/>
        <v>76</v>
      </c>
    </row>
    <row r="5636" spans="1:6" ht="15.75" thickBot="1" x14ac:dyDescent="0.3">
      <c r="A5636" s="140" t="s">
        <v>43</v>
      </c>
      <c r="B5636" s="49">
        <v>44127</v>
      </c>
      <c r="C5636" s="4">
        <v>316</v>
      </c>
      <c r="D5636" s="29">
        <f t="shared" si="517"/>
        <v>5062</v>
      </c>
      <c r="F5636" s="129">
        <f t="shared" si="515"/>
        <v>52</v>
      </c>
    </row>
    <row r="5637" spans="1:6" ht="15.75" thickBot="1" x14ac:dyDescent="0.3">
      <c r="A5637" s="140" t="s">
        <v>44</v>
      </c>
      <c r="B5637" s="49">
        <v>44127</v>
      </c>
      <c r="C5637" s="4">
        <v>200</v>
      </c>
      <c r="D5637" s="29">
        <f t="shared" si="517"/>
        <v>8155</v>
      </c>
      <c r="E5637" s="4">
        <f>4+1</f>
        <v>5</v>
      </c>
      <c r="F5637" s="129">
        <f t="shared" si="515"/>
        <v>113</v>
      </c>
    </row>
    <row r="5638" spans="1:6" ht="15.75" thickBot="1" x14ac:dyDescent="0.3">
      <c r="A5638" s="140" t="s">
        <v>29</v>
      </c>
      <c r="B5638" s="49">
        <v>44127</v>
      </c>
      <c r="C5638" s="4">
        <v>2517</v>
      </c>
      <c r="D5638" s="29">
        <f t="shared" si="517"/>
        <v>91175</v>
      </c>
      <c r="E5638" s="4">
        <f>16+11</f>
        <v>27</v>
      </c>
      <c r="F5638" s="129">
        <f t="shared" si="515"/>
        <v>1034</v>
      </c>
    </row>
    <row r="5639" spans="1:6" ht="15.75" thickBot="1" x14ac:dyDescent="0.3">
      <c r="A5639" s="140" t="s">
        <v>45</v>
      </c>
      <c r="B5639" s="49">
        <v>44127</v>
      </c>
      <c r="C5639" s="4">
        <v>316</v>
      </c>
      <c r="D5639" s="29">
        <f t="shared" ref="D5639:D5640" si="518">C5639+D5615</f>
        <v>7812</v>
      </c>
      <c r="F5639" s="129">
        <f t="shared" si="515"/>
        <v>106</v>
      </c>
    </row>
    <row r="5640" spans="1:6" ht="15.75" thickBot="1" x14ac:dyDescent="0.3">
      <c r="A5640" s="140" t="s">
        <v>46</v>
      </c>
      <c r="B5640" s="49">
        <v>44127</v>
      </c>
      <c r="C5640" s="4">
        <v>331</v>
      </c>
      <c r="D5640" s="29">
        <f t="shared" si="518"/>
        <v>9471</v>
      </c>
      <c r="E5640" s="4">
        <f>3+4</f>
        <v>7</v>
      </c>
      <c r="F5640" s="129">
        <f t="shared" si="515"/>
        <v>119</v>
      </c>
    </row>
    <row r="5641" spans="1:6" ht="15.75" thickBot="1" x14ac:dyDescent="0.3">
      <c r="A5641" s="141" t="s">
        <v>47</v>
      </c>
      <c r="B5641" s="49">
        <v>44127</v>
      </c>
      <c r="C5641" s="4">
        <v>1032</v>
      </c>
      <c r="D5641" s="29">
        <f t="shared" ref="D5641:D5662" si="519">C5641+D5617</f>
        <v>41613</v>
      </c>
      <c r="E5641" s="4">
        <f>4+6</f>
        <v>10</v>
      </c>
      <c r="F5641" s="139">
        <f t="shared" si="515"/>
        <v>597</v>
      </c>
    </row>
    <row r="5642" spans="1:6" ht="15.75" thickBot="1" x14ac:dyDescent="0.3">
      <c r="A5642" s="64" t="s">
        <v>22</v>
      </c>
      <c r="B5642" s="49">
        <v>44128</v>
      </c>
      <c r="C5642" s="4">
        <v>3030</v>
      </c>
      <c r="D5642" s="144">
        <f t="shared" si="519"/>
        <v>525123</v>
      </c>
      <c r="E5642" s="4">
        <f>55+41</f>
        <v>96</v>
      </c>
      <c r="F5642" s="128">
        <f t="shared" si="515"/>
        <v>16708</v>
      </c>
    </row>
    <row r="5643" spans="1:6" ht="15.75" thickBot="1" x14ac:dyDescent="0.3">
      <c r="A5643" s="140" t="s">
        <v>20</v>
      </c>
      <c r="B5643" s="49">
        <v>44128</v>
      </c>
      <c r="C5643" s="4">
        <v>464</v>
      </c>
      <c r="D5643" s="29">
        <f t="shared" si="519"/>
        <v>143545</v>
      </c>
      <c r="E5643" s="4">
        <f>1+17+23</f>
        <v>41</v>
      </c>
      <c r="F5643" s="129">
        <f t="shared" si="515"/>
        <v>4479</v>
      </c>
    </row>
    <row r="5644" spans="1:6" ht="15.75" thickBot="1" x14ac:dyDescent="0.3">
      <c r="A5644" s="140" t="s">
        <v>35</v>
      </c>
      <c r="B5644" s="49">
        <v>44128</v>
      </c>
      <c r="C5644" s="4">
        <v>33</v>
      </c>
      <c r="D5644" s="29">
        <f t="shared" si="519"/>
        <v>596</v>
      </c>
      <c r="F5644" s="129">
        <f t="shared" si="515"/>
        <v>0</v>
      </c>
    </row>
    <row r="5645" spans="1:6" ht="15.75" thickBot="1" x14ac:dyDescent="0.3">
      <c r="A5645" s="140" t="s">
        <v>21</v>
      </c>
      <c r="B5645" s="49">
        <v>44128</v>
      </c>
      <c r="C5645" s="4">
        <v>147</v>
      </c>
      <c r="D5645" s="29">
        <f t="shared" si="519"/>
        <v>12928</v>
      </c>
      <c r="E5645" s="4">
        <f>5+1</f>
        <v>6</v>
      </c>
      <c r="F5645" s="129">
        <f t="shared" si="515"/>
        <v>400</v>
      </c>
    </row>
    <row r="5646" spans="1:6" ht="15.75" thickBot="1" x14ac:dyDescent="0.3">
      <c r="A5646" s="140" t="s">
        <v>36</v>
      </c>
      <c r="B5646" s="49">
        <v>44128</v>
      </c>
      <c r="C5646" s="4">
        <v>351</v>
      </c>
      <c r="D5646" s="29">
        <f t="shared" si="519"/>
        <v>11952</v>
      </c>
      <c r="E5646" s="4">
        <f>3+2</f>
        <v>5</v>
      </c>
      <c r="F5646" s="129">
        <f t="shared" si="515"/>
        <v>211</v>
      </c>
    </row>
    <row r="5647" spans="1:6" ht="15.75" thickBot="1" x14ac:dyDescent="0.3">
      <c r="A5647" s="140" t="s">
        <v>27</v>
      </c>
      <c r="B5647" s="49">
        <v>44128</v>
      </c>
      <c r="C5647" s="4">
        <v>1847</v>
      </c>
      <c r="D5647" s="29">
        <f t="shared" si="519"/>
        <v>74605</v>
      </c>
      <c r="E5647" s="4">
        <f>17+13</f>
        <v>30</v>
      </c>
      <c r="F5647" s="129">
        <f t="shared" si="515"/>
        <v>1076</v>
      </c>
    </row>
    <row r="5648" spans="1:6" ht="15.75" thickBot="1" x14ac:dyDescent="0.3">
      <c r="A5648" s="140" t="s">
        <v>37</v>
      </c>
      <c r="B5648" s="49">
        <v>44128</v>
      </c>
      <c r="C5648" s="4">
        <v>45</v>
      </c>
      <c r="D5648" s="29">
        <f t="shared" si="519"/>
        <v>2245</v>
      </c>
      <c r="F5648" s="129">
        <f t="shared" si="515"/>
        <v>40</v>
      </c>
    </row>
    <row r="5649" spans="1:6" ht="15.75" thickBot="1" x14ac:dyDescent="0.3">
      <c r="A5649" s="140" t="s">
        <v>38</v>
      </c>
      <c r="B5649" s="49">
        <v>44128</v>
      </c>
      <c r="C5649" s="4">
        <v>309</v>
      </c>
      <c r="D5649" s="29">
        <f t="shared" si="519"/>
        <v>13738</v>
      </c>
      <c r="E5649" s="4">
        <f>1+1</f>
        <v>2</v>
      </c>
      <c r="F5649" s="129">
        <f t="shared" si="515"/>
        <v>229</v>
      </c>
    </row>
    <row r="5650" spans="1:6" ht="15.75" thickBot="1" x14ac:dyDescent="0.3">
      <c r="A5650" s="140" t="s">
        <v>48</v>
      </c>
      <c r="B5650" s="49">
        <v>44128</v>
      </c>
      <c r="C5650" s="4">
        <v>0</v>
      </c>
      <c r="D5650" s="29">
        <f t="shared" si="519"/>
        <v>142</v>
      </c>
      <c r="F5650" s="129">
        <f t="shared" si="515"/>
        <v>1</v>
      </c>
    </row>
    <row r="5651" spans="1:6" ht="15.75" thickBot="1" x14ac:dyDescent="0.3">
      <c r="A5651" s="140" t="s">
        <v>39</v>
      </c>
      <c r="B5651" s="49">
        <v>44128</v>
      </c>
      <c r="C5651" s="4">
        <v>62</v>
      </c>
      <c r="D5651" s="29">
        <f t="shared" si="519"/>
        <v>17579</v>
      </c>
      <c r="E5651" s="4">
        <f>3+1</f>
        <v>4</v>
      </c>
      <c r="F5651" s="129">
        <f t="shared" si="515"/>
        <v>772</v>
      </c>
    </row>
    <row r="5652" spans="1:6" ht="15.75" thickBot="1" x14ac:dyDescent="0.3">
      <c r="A5652" s="140" t="s">
        <v>40</v>
      </c>
      <c r="B5652" s="49">
        <v>44128</v>
      </c>
      <c r="C5652" s="4">
        <v>77</v>
      </c>
      <c r="D5652" s="29">
        <f t="shared" si="519"/>
        <v>2336</v>
      </c>
      <c r="F5652" s="129">
        <f t="shared" si="515"/>
        <v>25</v>
      </c>
    </row>
    <row r="5653" spans="1:6" ht="15.75" thickBot="1" x14ac:dyDescent="0.3">
      <c r="A5653" s="140" t="s">
        <v>28</v>
      </c>
      <c r="B5653" s="49">
        <v>44128</v>
      </c>
      <c r="C5653" s="4">
        <v>46</v>
      </c>
      <c r="D5653" s="29">
        <f t="shared" si="519"/>
        <v>7016</v>
      </c>
      <c r="F5653" s="129">
        <f t="shared" si="515"/>
        <v>239</v>
      </c>
    </row>
    <row r="5654" spans="1:6" ht="15.75" thickBot="1" x14ac:dyDescent="0.3">
      <c r="A5654" s="140" t="s">
        <v>24</v>
      </c>
      <c r="B5654" s="49">
        <v>44128</v>
      </c>
      <c r="C5654" s="4">
        <v>653</v>
      </c>
      <c r="D5654" s="29">
        <f t="shared" si="519"/>
        <v>42388</v>
      </c>
      <c r="E5654" s="4">
        <f>2+4</f>
        <v>6</v>
      </c>
      <c r="F5654" s="129">
        <f t="shared" si="515"/>
        <v>689</v>
      </c>
    </row>
    <row r="5655" spans="1:6" ht="15.75" thickBot="1" x14ac:dyDescent="0.3">
      <c r="A5655" s="140" t="s">
        <v>30</v>
      </c>
      <c r="B5655" s="49">
        <v>44128</v>
      </c>
      <c r="C5655" s="4">
        <v>3</v>
      </c>
      <c r="D5655" s="29">
        <f t="shared" si="519"/>
        <v>212</v>
      </c>
      <c r="E5655" s="4">
        <f>1</f>
        <v>1</v>
      </c>
      <c r="F5655" s="129">
        <f t="shared" si="515"/>
        <v>5</v>
      </c>
    </row>
    <row r="5656" spans="1:6" ht="15.75" thickBot="1" x14ac:dyDescent="0.3">
      <c r="A5656" s="140" t="s">
        <v>26</v>
      </c>
      <c r="B5656" s="49">
        <v>44128</v>
      </c>
      <c r="C5656" s="4">
        <v>534</v>
      </c>
      <c r="D5656" s="29">
        <f t="shared" si="519"/>
        <v>19147</v>
      </c>
      <c r="F5656" s="129">
        <f t="shared" si="515"/>
        <v>335</v>
      </c>
    </row>
    <row r="5657" spans="1:6" ht="15.75" thickBot="1" x14ac:dyDescent="0.3">
      <c r="A5657" s="140" t="s">
        <v>25</v>
      </c>
      <c r="B5657" s="49">
        <v>44128</v>
      </c>
      <c r="C5657" s="4">
        <v>267</v>
      </c>
      <c r="D5657" s="29">
        <f t="shared" si="519"/>
        <v>21522</v>
      </c>
      <c r="E5657" s="4">
        <f>4+6</f>
        <v>10</v>
      </c>
      <c r="F5657" s="129">
        <f t="shared" si="515"/>
        <v>549</v>
      </c>
    </row>
    <row r="5658" spans="1:6" ht="15.75" thickBot="1" x14ac:dyDescent="0.3">
      <c r="A5658" s="140" t="s">
        <v>41</v>
      </c>
      <c r="B5658" s="49">
        <v>44128</v>
      </c>
      <c r="C5658" s="4">
        <v>193</v>
      </c>
      <c r="D5658" s="29">
        <f t="shared" si="519"/>
        <v>17885</v>
      </c>
      <c r="E5658" s="4">
        <f>4</f>
        <v>4</v>
      </c>
      <c r="F5658" s="129">
        <f t="shared" si="515"/>
        <v>687</v>
      </c>
    </row>
    <row r="5659" spans="1:6" ht="15.75" thickBot="1" x14ac:dyDescent="0.3">
      <c r="A5659" s="140" t="s">
        <v>42</v>
      </c>
      <c r="B5659" s="49">
        <v>44128</v>
      </c>
      <c r="C5659" s="4">
        <v>6</v>
      </c>
      <c r="D5659" s="29">
        <f t="shared" si="519"/>
        <v>1380</v>
      </c>
      <c r="E5659" s="4">
        <f>1</f>
        <v>1</v>
      </c>
      <c r="F5659" s="129">
        <f t="shared" si="515"/>
        <v>77</v>
      </c>
    </row>
    <row r="5660" spans="1:6" ht="15.75" thickBot="1" x14ac:dyDescent="0.3">
      <c r="A5660" s="140" t="s">
        <v>43</v>
      </c>
      <c r="B5660" s="49">
        <v>44128</v>
      </c>
      <c r="C5660" s="4">
        <v>233</v>
      </c>
      <c r="D5660" s="29">
        <f t="shared" si="519"/>
        <v>5295</v>
      </c>
      <c r="F5660" s="129">
        <f t="shared" si="515"/>
        <v>52</v>
      </c>
    </row>
    <row r="5661" spans="1:6" ht="15.75" thickBot="1" x14ac:dyDescent="0.3">
      <c r="A5661" s="140" t="s">
        <v>44</v>
      </c>
      <c r="B5661" s="49">
        <v>44128</v>
      </c>
      <c r="C5661" s="4">
        <v>136</v>
      </c>
      <c r="D5661" s="29">
        <f t="shared" si="519"/>
        <v>8291</v>
      </c>
      <c r="F5661" s="129">
        <f t="shared" si="515"/>
        <v>113</v>
      </c>
    </row>
    <row r="5662" spans="1:6" ht="15.75" thickBot="1" x14ac:dyDescent="0.3">
      <c r="A5662" s="140" t="s">
        <v>29</v>
      </c>
      <c r="B5662" s="49">
        <v>44128</v>
      </c>
      <c r="C5662" s="4">
        <v>1927</v>
      </c>
      <c r="D5662" s="29">
        <f t="shared" si="519"/>
        <v>93102</v>
      </c>
      <c r="E5662" s="4">
        <f>7+10</f>
        <v>17</v>
      </c>
      <c r="F5662" s="129">
        <f t="shared" si="515"/>
        <v>1051</v>
      </c>
    </row>
    <row r="5663" spans="1:6" ht="15.75" thickBot="1" x14ac:dyDescent="0.3">
      <c r="A5663" s="140" t="s">
        <v>45</v>
      </c>
      <c r="B5663" s="49">
        <v>44128</v>
      </c>
      <c r="C5663" s="4">
        <v>311</v>
      </c>
      <c r="D5663" s="29">
        <f t="shared" ref="D5663:D5664" si="520">C5663+D5639</f>
        <v>8123</v>
      </c>
      <c r="F5663" s="129">
        <f t="shared" si="515"/>
        <v>106</v>
      </c>
    </row>
    <row r="5664" spans="1:6" ht="15.75" thickBot="1" x14ac:dyDescent="0.3">
      <c r="A5664" s="140" t="s">
        <v>46</v>
      </c>
      <c r="B5664" s="49">
        <v>44128</v>
      </c>
      <c r="C5664" s="4">
        <v>338</v>
      </c>
      <c r="D5664" s="29">
        <f t="shared" si="520"/>
        <v>9809</v>
      </c>
      <c r="E5664" s="4">
        <f>6+1</f>
        <v>7</v>
      </c>
      <c r="F5664" s="129">
        <f t="shared" si="515"/>
        <v>126</v>
      </c>
    </row>
    <row r="5665" spans="1:6" ht="15.75" thickBot="1" x14ac:dyDescent="0.3">
      <c r="A5665" s="142" t="s">
        <v>47</v>
      </c>
      <c r="B5665" s="221">
        <v>44128</v>
      </c>
      <c r="C5665" s="47">
        <v>956</v>
      </c>
      <c r="D5665" s="29">
        <f t="shared" ref="D5665:D5686" si="521">C5665+D5641</f>
        <v>42569</v>
      </c>
      <c r="E5665" s="47">
        <f>29+14</f>
        <v>43</v>
      </c>
      <c r="F5665" s="139">
        <f t="shared" si="515"/>
        <v>640</v>
      </c>
    </row>
    <row r="5666" spans="1:6" x14ac:dyDescent="0.25">
      <c r="A5666" s="64" t="s">
        <v>22</v>
      </c>
      <c r="B5666" s="49">
        <v>44129</v>
      </c>
      <c r="C5666" s="50">
        <v>2170</v>
      </c>
      <c r="D5666" s="144">
        <f t="shared" si="521"/>
        <v>527293</v>
      </c>
      <c r="E5666" s="50">
        <f>40+46</f>
        <v>86</v>
      </c>
      <c r="F5666" s="128">
        <f t="shared" si="515"/>
        <v>16794</v>
      </c>
    </row>
    <row r="5667" spans="1:6" x14ac:dyDescent="0.25">
      <c r="A5667" s="140" t="s">
        <v>20</v>
      </c>
      <c r="B5667" s="26">
        <v>44129</v>
      </c>
      <c r="C5667" s="4">
        <v>445</v>
      </c>
      <c r="D5667" s="29">
        <f t="shared" si="521"/>
        <v>143990</v>
      </c>
      <c r="E5667" s="4">
        <f>22+13</f>
        <v>35</v>
      </c>
      <c r="F5667" s="129">
        <f t="shared" si="515"/>
        <v>4514</v>
      </c>
    </row>
    <row r="5668" spans="1:6" x14ac:dyDescent="0.25">
      <c r="A5668" s="140" t="s">
        <v>35</v>
      </c>
      <c r="B5668" s="26">
        <v>44129</v>
      </c>
      <c r="C5668" s="4">
        <v>35</v>
      </c>
      <c r="D5668" s="29">
        <f t="shared" si="521"/>
        <v>631</v>
      </c>
      <c r="F5668" s="129">
        <f t="shared" si="515"/>
        <v>0</v>
      </c>
    </row>
    <row r="5669" spans="1:6" x14ac:dyDescent="0.25">
      <c r="A5669" s="140" t="s">
        <v>21</v>
      </c>
      <c r="B5669" s="26">
        <v>44129</v>
      </c>
      <c r="C5669" s="4">
        <v>162</v>
      </c>
      <c r="D5669" s="29">
        <f t="shared" si="521"/>
        <v>13090</v>
      </c>
      <c r="E5669" s="4">
        <f>4+1</f>
        <v>5</v>
      </c>
      <c r="F5669" s="129">
        <f t="shared" si="515"/>
        <v>405</v>
      </c>
    </row>
    <row r="5670" spans="1:6" x14ac:dyDescent="0.25">
      <c r="A5670" s="140" t="s">
        <v>36</v>
      </c>
      <c r="B5670" s="26">
        <v>44129</v>
      </c>
      <c r="C5670" s="4">
        <v>485</v>
      </c>
      <c r="D5670" s="29">
        <f t="shared" si="521"/>
        <v>12437</v>
      </c>
      <c r="E5670" s="4">
        <f>4+1</f>
        <v>5</v>
      </c>
      <c r="F5670" s="129">
        <f t="shared" si="515"/>
        <v>216</v>
      </c>
    </row>
    <row r="5671" spans="1:6" x14ac:dyDescent="0.25">
      <c r="A5671" s="140" t="s">
        <v>27</v>
      </c>
      <c r="B5671" s="26">
        <v>44129</v>
      </c>
      <c r="C5671" s="4">
        <v>1390</v>
      </c>
      <c r="D5671" s="29">
        <f t="shared" si="521"/>
        <v>75995</v>
      </c>
      <c r="E5671" s="4">
        <f>15+14</f>
        <v>29</v>
      </c>
      <c r="F5671" s="129">
        <f t="shared" si="515"/>
        <v>1105</v>
      </c>
    </row>
    <row r="5672" spans="1:6" x14ac:dyDescent="0.25">
      <c r="A5672" s="140" t="s">
        <v>37</v>
      </c>
      <c r="B5672" s="26">
        <v>44129</v>
      </c>
      <c r="C5672" s="4">
        <v>24</v>
      </c>
      <c r="D5672" s="29">
        <f t="shared" si="521"/>
        <v>2269</v>
      </c>
      <c r="F5672" s="129">
        <f t="shared" si="515"/>
        <v>40</v>
      </c>
    </row>
    <row r="5673" spans="1:6" x14ac:dyDescent="0.25">
      <c r="A5673" s="140" t="s">
        <v>38</v>
      </c>
      <c r="B5673" s="26">
        <v>44129</v>
      </c>
      <c r="C5673" s="4">
        <v>202</v>
      </c>
      <c r="D5673" s="29">
        <f t="shared" si="521"/>
        <v>13940</v>
      </c>
      <c r="E5673" s="4">
        <f>7+4</f>
        <v>11</v>
      </c>
      <c r="F5673" s="129">
        <f t="shared" si="515"/>
        <v>240</v>
      </c>
    </row>
    <row r="5674" spans="1:6" x14ac:dyDescent="0.25">
      <c r="A5674" s="140" t="s">
        <v>48</v>
      </c>
      <c r="B5674" s="26">
        <v>44129</v>
      </c>
      <c r="C5674" s="4">
        <v>1</v>
      </c>
      <c r="D5674" s="29">
        <f t="shared" si="521"/>
        <v>143</v>
      </c>
      <c r="F5674" s="129">
        <f t="shared" ref="F5674:F5737" si="522">E5674+F5650</f>
        <v>1</v>
      </c>
    </row>
    <row r="5675" spans="1:6" x14ac:dyDescent="0.25">
      <c r="A5675" s="140" t="s">
        <v>39</v>
      </c>
      <c r="B5675" s="26">
        <v>44129</v>
      </c>
      <c r="C5675" s="4">
        <v>35</v>
      </c>
      <c r="D5675" s="29">
        <f t="shared" si="521"/>
        <v>17614</v>
      </c>
      <c r="E5675" s="4">
        <f>4</f>
        <v>4</v>
      </c>
      <c r="F5675" s="129">
        <f t="shared" si="522"/>
        <v>776</v>
      </c>
    </row>
    <row r="5676" spans="1:6" x14ac:dyDescent="0.25">
      <c r="A5676" s="140" t="s">
        <v>40</v>
      </c>
      <c r="B5676" s="26">
        <v>44129</v>
      </c>
      <c r="C5676" s="4">
        <v>120</v>
      </c>
      <c r="D5676" s="29">
        <f t="shared" si="521"/>
        <v>2456</v>
      </c>
      <c r="F5676" s="129">
        <f t="shared" si="522"/>
        <v>25</v>
      </c>
    </row>
    <row r="5677" spans="1:6" x14ac:dyDescent="0.25">
      <c r="A5677" s="140" t="s">
        <v>28</v>
      </c>
      <c r="B5677" s="26">
        <v>44129</v>
      </c>
      <c r="C5677" s="4">
        <v>108</v>
      </c>
      <c r="D5677" s="29">
        <f t="shared" si="521"/>
        <v>7124</v>
      </c>
      <c r="F5677" s="129">
        <f t="shared" si="522"/>
        <v>239</v>
      </c>
    </row>
    <row r="5678" spans="1:6" x14ac:dyDescent="0.25">
      <c r="A5678" s="140" t="s">
        <v>24</v>
      </c>
      <c r="B5678" s="26">
        <v>44129</v>
      </c>
      <c r="C5678" s="4">
        <v>561</v>
      </c>
      <c r="D5678" s="29">
        <f t="shared" si="521"/>
        <v>42949</v>
      </c>
      <c r="E5678" s="4">
        <f>11+5</f>
        <v>16</v>
      </c>
      <c r="F5678" s="129">
        <f t="shared" si="522"/>
        <v>705</v>
      </c>
    </row>
    <row r="5679" spans="1:6" x14ac:dyDescent="0.25">
      <c r="A5679" s="140" t="s">
        <v>30</v>
      </c>
      <c r="B5679" s="26">
        <v>44129</v>
      </c>
      <c r="C5679" s="4">
        <v>5</v>
      </c>
      <c r="D5679" s="29">
        <f t="shared" si="521"/>
        <v>217</v>
      </c>
      <c r="F5679" s="129">
        <f t="shared" si="522"/>
        <v>5</v>
      </c>
    </row>
    <row r="5680" spans="1:6" x14ac:dyDescent="0.25">
      <c r="A5680" s="140" t="s">
        <v>26</v>
      </c>
      <c r="B5680" s="26">
        <v>44129</v>
      </c>
      <c r="C5680" s="4">
        <v>236</v>
      </c>
      <c r="D5680" s="29">
        <f t="shared" si="521"/>
        <v>19383</v>
      </c>
      <c r="E5680" s="4">
        <f>10+10</f>
        <v>20</v>
      </c>
      <c r="F5680" s="129">
        <f t="shared" si="522"/>
        <v>355</v>
      </c>
    </row>
    <row r="5681" spans="1:10" x14ac:dyDescent="0.25">
      <c r="A5681" s="140" t="s">
        <v>25</v>
      </c>
      <c r="B5681" s="26">
        <v>44129</v>
      </c>
      <c r="C5681" s="4">
        <v>238</v>
      </c>
      <c r="D5681" s="29">
        <f t="shared" si="521"/>
        <v>21760</v>
      </c>
      <c r="E5681" s="4">
        <f>7+4</f>
        <v>11</v>
      </c>
      <c r="F5681" s="129">
        <f t="shared" si="522"/>
        <v>560</v>
      </c>
    </row>
    <row r="5682" spans="1:10" x14ac:dyDescent="0.25">
      <c r="A5682" s="140" t="s">
        <v>41</v>
      </c>
      <c r="B5682" s="26">
        <v>44129</v>
      </c>
      <c r="C5682" s="4">
        <v>145</v>
      </c>
      <c r="D5682" s="29">
        <f t="shared" si="521"/>
        <v>18030</v>
      </c>
      <c r="E5682" s="4">
        <f>20+5</f>
        <v>25</v>
      </c>
      <c r="F5682" s="129">
        <f t="shared" si="522"/>
        <v>712</v>
      </c>
    </row>
    <row r="5683" spans="1:10" x14ac:dyDescent="0.25">
      <c r="A5683" s="140" t="s">
        <v>42</v>
      </c>
      <c r="B5683" s="26">
        <v>44129</v>
      </c>
      <c r="C5683" s="4">
        <v>6</v>
      </c>
      <c r="D5683" s="29">
        <f t="shared" si="521"/>
        <v>1386</v>
      </c>
      <c r="F5683" s="129">
        <f t="shared" si="522"/>
        <v>77</v>
      </c>
    </row>
    <row r="5684" spans="1:10" x14ac:dyDescent="0.25">
      <c r="A5684" s="140" t="s">
        <v>43</v>
      </c>
      <c r="B5684" s="26">
        <v>44129</v>
      </c>
      <c r="C5684" s="4">
        <v>188</v>
      </c>
      <c r="D5684" s="29">
        <f t="shared" si="521"/>
        <v>5483</v>
      </c>
      <c r="F5684" s="129">
        <f t="shared" si="522"/>
        <v>52</v>
      </c>
    </row>
    <row r="5685" spans="1:10" x14ac:dyDescent="0.25">
      <c r="A5685" s="140" t="s">
        <v>44</v>
      </c>
      <c r="B5685" s="26">
        <v>44129</v>
      </c>
      <c r="C5685" s="4">
        <v>178</v>
      </c>
      <c r="D5685" s="29">
        <f t="shared" si="521"/>
        <v>8469</v>
      </c>
      <c r="F5685" s="129">
        <f t="shared" si="522"/>
        <v>113</v>
      </c>
    </row>
    <row r="5686" spans="1:10" x14ac:dyDescent="0.25">
      <c r="A5686" s="140" t="s">
        <v>29</v>
      </c>
      <c r="B5686" s="26">
        <v>44129</v>
      </c>
      <c r="C5686" s="4">
        <v>1405</v>
      </c>
      <c r="D5686" s="29">
        <f t="shared" si="521"/>
        <v>94507</v>
      </c>
      <c r="E5686" s="4">
        <f>3+3</f>
        <v>6</v>
      </c>
      <c r="F5686" s="129">
        <f t="shared" si="522"/>
        <v>1057</v>
      </c>
    </row>
    <row r="5687" spans="1:10" x14ac:dyDescent="0.25">
      <c r="A5687" s="140" t="s">
        <v>45</v>
      </c>
      <c r="B5687" s="26">
        <v>44129</v>
      </c>
      <c r="C5687" s="4">
        <v>262</v>
      </c>
      <c r="D5687" s="29">
        <f t="shared" ref="D5687:D5688" si="523">C5687+D5663</f>
        <v>8385</v>
      </c>
      <c r="E5687" s="4">
        <f>5+3</f>
        <v>8</v>
      </c>
      <c r="F5687" s="129">
        <f t="shared" si="522"/>
        <v>114</v>
      </c>
    </row>
    <row r="5688" spans="1:10" x14ac:dyDescent="0.25">
      <c r="A5688" s="140" t="s">
        <v>46</v>
      </c>
      <c r="B5688" s="26">
        <v>44129</v>
      </c>
      <c r="C5688" s="4">
        <v>243</v>
      </c>
      <c r="D5688" s="29">
        <f t="shared" si="523"/>
        <v>10052</v>
      </c>
      <c r="E5688" s="4">
        <f>2</f>
        <v>2</v>
      </c>
      <c r="F5688" s="129">
        <f t="shared" si="522"/>
        <v>128</v>
      </c>
    </row>
    <row r="5689" spans="1:10" ht="15.75" thickBot="1" x14ac:dyDescent="0.3">
      <c r="A5689" s="141" t="s">
        <v>47</v>
      </c>
      <c r="B5689" s="53">
        <v>44129</v>
      </c>
      <c r="C5689" s="54">
        <v>609</v>
      </c>
      <c r="D5689" s="29">
        <f t="shared" ref="D5689:D5710" si="524">C5689+D5665</f>
        <v>43178</v>
      </c>
      <c r="E5689" s="54">
        <f>13+7</f>
        <v>20</v>
      </c>
      <c r="F5689" s="139">
        <f t="shared" si="522"/>
        <v>660</v>
      </c>
    </row>
    <row r="5690" spans="1:10" x14ac:dyDescent="0.25">
      <c r="A5690" s="222" t="s">
        <v>22</v>
      </c>
      <c r="B5690" s="136">
        <v>44130</v>
      </c>
      <c r="C5690" s="48">
        <v>3694</v>
      </c>
      <c r="D5690" s="144">
        <f t="shared" si="524"/>
        <v>530987</v>
      </c>
      <c r="E5690" s="48">
        <v>146</v>
      </c>
      <c r="F5690" s="128">
        <f t="shared" si="522"/>
        <v>16940</v>
      </c>
    </row>
    <row r="5691" spans="1:10" x14ac:dyDescent="0.25">
      <c r="A5691" s="140" t="s">
        <v>20</v>
      </c>
      <c r="B5691" s="26">
        <v>44130</v>
      </c>
      <c r="C5691" s="4">
        <v>515</v>
      </c>
      <c r="D5691" s="29">
        <f t="shared" si="524"/>
        <v>144505</v>
      </c>
      <c r="E5691" s="4">
        <v>64</v>
      </c>
      <c r="F5691" s="129">
        <f t="shared" si="522"/>
        <v>4578</v>
      </c>
      <c r="J5691" s="88"/>
    </row>
    <row r="5692" spans="1:10" x14ac:dyDescent="0.25">
      <c r="A5692" s="140" t="s">
        <v>35</v>
      </c>
      <c r="B5692" s="26">
        <v>44130</v>
      </c>
      <c r="C5692" s="4">
        <v>7</v>
      </c>
      <c r="D5692" s="29">
        <f t="shared" si="524"/>
        <v>638</v>
      </c>
      <c r="F5692" s="129">
        <f t="shared" si="522"/>
        <v>0</v>
      </c>
      <c r="J5692" s="88"/>
    </row>
    <row r="5693" spans="1:10" x14ac:dyDescent="0.25">
      <c r="A5693" s="140" t="s">
        <v>21</v>
      </c>
      <c r="B5693" s="26">
        <v>44130</v>
      </c>
      <c r="C5693" s="4">
        <v>137</v>
      </c>
      <c r="D5693" s="29">
        <f t="shared" si="524"/>
        <v>13227</v>
      </c>
      <c r="E5693" s="4">
        <v>1</v>
      </c>
      <c r="F5693" s="129">
        <f t="shared" si="522"/>
        <v>406</v>
      </c>
      <c r="J5693" s="88"/>
    </row>
    <row r="5694" spans="1:10" x14ac:dyDescent="0.25">
      <c r="A5694" s="140" t="s">
        <v>36</v>
      </c>
      <c r="B5694" s="26">
        <v>44130</v>
      </c>
      <c r="C5694" s="4">
        <v>544</v>
      </c>
      <c r="D5694" s="29">
        <f t="shared" si="524"/>
        <v>12981</v>
      </c>
      <c r="E5694" s="4">
        <v>2</v>
      </c>
      <c r="F5694" s="129">
        <f t="shared" si="522"/>
        <v>218</v>
      </c>
      <c r="J5694" s="88"/>
    </row>
    <row r="5695" spans="1:10" x14ac:dyDescent="0.25">
      <c r="A5695" s="140" t="s">
        <v>27</v>
      </c>
      <c r="B5695" s="26">
        <v>44130</v>
      </c>
      <c r="C5695" s="4">
        <v>1271</v>
      </c>
      <c r="D5695" s="29">
        <f t="shared" si="524"/>
        <v>77266</v>
      </c>
      <c r="E5695" s="4">
        <v>32</v>
      </c>
      <c r="F5695" s="129">
        <f t="shared" si="522"/>
        <v>1137</v>
      </c>
      <c r="J5695" s="88"/>
    </row>
    <row r="5696" spans="1:10" x14ac:dyDescent="0.25">
      <c r="A5696" s="140" t="s">
        <v>37</v>
      </c>
      <c r="B5696" s="26">
        <v>44130</v>
      </c>
      <c r="C5696" s="4">
        <v>114</v>
      </c>
      <c r="D5696" s="29">
        <f t="shared" si="524"/>
        <v>2383</v>
      </c>
      <c r="E5696" s="4">
        <v>3</v>
      </c>
      <c r="F5696" s="129">
        <f t="shared" si="522"/>
        <v>43</v>
      </c>
      <c r="J5696" s="88"/>
    </row>
    <row r="5697" spans="1:10" x14ac:dyDescent="0.25">
      <c r="A5697" s="140" t="s">
        <v>38</v>
      </c>
      <c r="B5697" s="26">
        <v>44130</v>
      </c>
      <c r="C5697" s="4">
        <v>352</v>
      </c>
      <c r="D5697" s="29">
        <f t="shared" si="524"/>
        <v>14292</v>
      </c>
      <c r="E5697" s="4">
        <v>11</v>
      </c>
      <c r="F5697" s="129">
        <f t="shared" si="522"/>
        <v>251</v>
      </c>
      <c r="J5697" s="88"/>
    </row>
    <row r="5698" spans="1:10" x14ac:dyDescent="0.25">
      <c r="A5698" s="140" t="s">
        <v>48</v>
      </c>
      <c r="B5698" s="26">
        <v>44130</v>
      </c>
      <c r="C5698" s="4">
        <v>2</v>
      </c>
      <c r="D5698" s="29">
        <f t="shared" si="524"/>
        <v>145</v>
      </c>
      <c r="F5698" s="129">
        <f t="shared" si="522"/>
        <v>1</v>
      </c>
      <c r="J5698" s="88"/>
    </row>
    <row r="5699" spans="1:10" x14ac:dyDescent="0.25">
      <c r="A5699" s="140" t="s">
        <v>39</v>
      </c>
      <c r="B5699" s="26">
        <v>44130</v>
      </c>
      <c r="C5699" s="4">
        <v>38</v>
      </c>
      <c r="D5699" s="29">
        <f t="shared" si="524"/>
        <v>17652</v>
      </c>
      <c r="E5699" s="4">
        <v>10</v>
      </c>
      <c r="F5699" s="129">
        <f t="shared" si="522"/>
        <v>786</v>
      </c>
      <c r="J5699" s="88"/>
    </row>
    <row r="5700" spans="1:10" x14ac:dyDescent="0.25">
      <c r="A5700" s="140" t="s">
        <v>40</v>
      </c>
      <c r="B5700" s="26">
        <v>44130</v>
      </c>
      <c r="C5700" s="4">
        <v>68</v>
      </c>
      <c r="D5700" s="29">
        <f t="shared" si="524"/>
        <v>2524</v>
      </c>
      <c r="F5700" s="129">
        <f t="shared" si="522"/>
        <v>25</v>
      </c>
      <c r="J5700" s="88"/>
    </row>
    <row r="5701" spans="1:10" x14ac:dyDescent="0.25">
      <c r="A5701" s="140" t="s">
        <v>28</v>
      </c>
      <c r="B5701" s="26">
        <v>44130</v>
      </c>
      <c r="C5701" s="4">
        <v>49</v>
      </c>
      <c r="D5701" s="29">
        <f t="shared" si="524"/>
        <v>7173</v>
      </c>
      <c r="E5701" s="4">
        <v>13</v>
      </c>
      <c r="F5701" s="129">
        <f t="shared" si="522"/>
        <v>252</v>
      </c>
      <c r="J5701" s="88"/>
    </row>
    <row r="5702" spans="1:10" x14ac:dyDescent="0.25">
      <c r="A5702" s="140" t="s">
        <v>24</v>
      </c>
      <c r="B5702" s="26">
        <v>44130</v>
      </c>
      <c r="C5702" s="4">
        <v>652</v>
      </c>
      <c r="D5702" s="29">
        <f t="shared" si="524"/>
        <v>43601</v>
      </c>
      <c r="E5702" s="4">
        <v>11</v>
      </c>
      <c r="F5702" s="129">
        <f t="shared" si="522"/>
        <v>716</v>
      </c>
      <c r="J5702" s="88"/>
    </row>
    <row r="5703" spans="1:10" x14ac:dyDescent="0.25">
      <c r="A5703" s="140" t="s">
        <v>30</v>
      </c>
      <c r="B5703" s="26">
        <v>44130</v>
      </c>
      <c r="C5703" s="4">
        <v>12</v>
      </c>
      <c r="D5703" s="29">
        <f t="shared" si="524"/>
        <v>229</v>
      </c>
      <c r="F5703" s="129">
        <f t="shared" si="522"/>
        <v>5</v>
      </c>
      <c r="J5703" s="88"/>
    </row>
    <row r="5704" spans="1:10" x14ac:dyDescent="0.25">
      <c r="A5704" s="140" t="s">
        <v>26</v>
      </c>
      <c r="B5704" s="26">
        <v>44130</v>
      </c>
      <c r="C5704" s="4">
        <v>395</v>
      </c>
      <c r="D5704" s="29">
        <f t="shared" si="524"/>
        <v>19778</v>
      </c>
      <c r="E5704" s="4">
        <v>6</v>
      </c>
      <c r="F5704" s="129">
        <f t="shared" si="522"/>
        <v>361</v>
      </c>
      <c r="J5704" s="88"/>
    </row>
    <row r="5705" spans="1:10" x14ac:dyDescent="0.25">
      <c r="A5705" s="140" t="s">
        <v>25</v>
      </c>
      <c r="B5705" s="26">
        <v>44130</v>
      </c>
      <c r="C5705" s="4">
        <v>308</v>
      </c>
      <c r="D5705" s="29">
        <f t="shared" si="524"/>
        <v>22068</v>
      </c>
      <c r="E5705" s="4">
        <v>12</v>
      </c>
      <c r="F5705" s="129">
        <f t="shared" si="522"/>
        <v>572</v>
      </c>
      <c r="J5705" s="88"/>
    </row>
    <row r="5706" spans="1:10" x14ac:dyDescent="0.25">
      <c r="A5706" s="140" t="s">
        <v>41</v>
      </c>
      <c r="B5706" s="26">
        <v>44130</v>
      </c>
      <c r="C5706" s="4">
        <v>95</v>
      </c>
      <c r="D5706" s="29">
        <f t="shared" si="524"/>
        <v>18125</v>
      </c>
      <c r="E5706" s="4">
        <v>24</v>
      </c>
      <c r="F5706" s="129">
        <f t="shared" si="522"/>
        <v>736</v>
      </c>
      <c r="J5706" s="88"/>
    </row>
    <row r="5707" spans="1:10" x14ac:dyDescent="0.25">
      <c r="A5707" s="140" t="s">
        <v>42</v>
      </c>
      <c r="B5707" s="26">
        <v>44130</v>
      </c>
      <c r="C5707" s="4">
        <v>10</v>
      </c>
      <c r="D5707" s="29">
        <f t="shared" si="524"/>
        <v>1396</v>
      </c>
      <c r="F5707" s="129">
        <f t="shared" si="522"/>
        <v>77</v>
      </c>
      <c r="J5707" s="88"/>
    </row>
    <row r="5708" spans="1:10" x14ac:dyDescent="0.25">
      <c r="A5708" s="140" t="s">
        <v>43</v>
      </c>
      <c r="B5708" s="26">
        <v>44130</v>
      </c>
      <c r="C5708" s="4">
        <v>136</v>
      </c>
      <c r="D5708" s="29">
        <f t="shared" si="524"/>
        <v>5619</v>
      </c>
      <c r="F5708" s="129">
        <f t="shared" si="522"/>
        <v>52</v>
      </c>
      <c r="J5708" s="88"/>
    </row>
    <row r="5709" spans="1:10" x14ac:dyDescent="0.25">
      <c r="A5709" s="140" t="s">
        <v>44</v>
      </c>
      <c r="B5709" s="26">
        <v>44130</v>
      </c>
      <c r="C5709" s="4">
        <v>86</v>
      </c>
      <c r="D5709" s="29">
        <f t="shared" si="524"/>
        <v>8555</v>
      </c>
      <c r="E5709" s="4">
        <v>3</v>
      </c>
      <c r="F5709" s="129">
        <f t="shared" si="522"/>
        <v>116</v>
      </c>
      <c r="J5709" s="88"/>
    </row>
    <row r="5710" spans="1:10" x14ac:dyDescent="0.25">
      <c r="A5710" s="140" t="s">
        <v>29</v>
      </c>
      <c r="B5710" s="26">
        <v>44130</v>
      </c>
      <c r="C5710" s="4">
        <v>1733</v>
      </c>
      <c r="D5710" s="29">
        <f t="shared" si="524"/>
        <v>96240</v>
      </c>
      <c r="E5710" s="4">
        <v>37</v>
      </c>
      <c r="F5710" s="129">
        <f t="shared" si="522"/>
        <v>1094</v>
      </c>
      <c r="J5710" s="88"/>
    </row>
    <row r="5711" spans="1:10" x14ac:dyDescent="0.25">
      <c r="A5711" s="140" t="s">
        <v>45</v>
      </c>
      <c r="B5711" s="26">
        <v>44130</v>
      </c>
      <c r="C5711" s="4">
        <v>240</v>
      </c>
      <c r="D5711" s="29">
        <f t="shared" ref="D5711:D5712" si="525">C5711+D5687</f>
        <v>8625</v>
      </c>
      <c r="E5711" s="4">
        <v>1</v>
      </c>
      <c r="F5711" s="129">
        <f t="shared" si="522"/>
        <v>115</v>
      </c>
      <c r="J5711" s="88"/>
    </row>
    <row r="5712" spans="1:10" x14ac:dyDescent="0.25">
      <c r="A5712" s="140" t="s">
        <v>46</v>
      </c>
      <c r="B5712" s="26">
        <v>44130</v>
      </c>
      <c r="C5712" s="4">
        <v>305</v>
      </c>
      <c r="D5712" s="29">
        <f t="shared" si="525"/>
        <v>10357</v>
      </c>
      <c r="E5712" s="4">
        <v>4</v>
      </c>
      <c r="F5712" s="129">
        <f t="shared" si="522"/>
        <v>132</v>
      </c>
      <c r="J5712" s="88"/>
    </row>
    <row r="5713" spans="1:10" ht="15.75" thickBot="1" x14ac:dyDescent="0.3">
      <c r="A5713" s="141" t="s">
        <v>47</v>
      </c>
      <c r="B5713" s="53">
        <v>44130</v>
      </c>
      <c r="C5713" s="54">
        <v>949</v>
      </c>
      <c r="D5713" s="29">
        <f t="shared" ref="D5713:D5734" si="526">C5713+D5689</f>
        <v>44127</v>
      </c>
      <c r="E5713" s="54">
        <v>26</v>
      </c>
      <c r="F5713" s="139">
        <f t="shared" si="522"/>
        <v>686</v>
      </c>
      <c r="J5713" s="88"/>
    </row>
    <row r="5714" spans="1:10" x14ac:dyDescent="0.25">
      <c r="A5714" s="222" t="s">
        <v>22</v>
      </c>
      <c r="B5714" s="136">
        <v>44131</v>
      </c>
      <c r="C5714" s="48">
        <v>4221</v>
      </c>
      <c r="D5714" s="144">
        <f t="shared" si="526"/>
        <v>535208</v>
      </c>
      <c r="E5714" s="48">
        <f>107+71</f>
        <v>178</v>
      </c>
      <c r="F5714" s="128">
        <f t="shared" si="522"/>
        <v>17118</v>
      </c>
    </row>
    <row r="5715" spans="1:10" x14ac:dyDescent="0.25">
      <c r="A5715" s="140" t="s">
        <v>20</v>
      </c>
      <c r="B5715" s="136">
        <v>44131</v>
      </c>
      <c r="C5715" s="4">
        <v>598</v>
      </c>
      <c r="D5715" s="29">
        <f t="shared" si="526"/>
        <v>145103</v>
      </c>
      <c r="E5715" s="4">
        <f>30+17+1</f>
        <v>48</v>
      </c>
      <c r="F5715" s="129">
        <f t="shared" si="522"/>
        <v>4626</v>
      </c>
    </row>
    <row r="5716" spans="1:10" x14ac:dyDescent="0.25">
      <c r="A5716" s="140" t="s">
        <v>35</v>
      </c>
      <c r="B5716" s="136">
        <v>44131</v>
      </c>
      <c r="C5716" s="4">
        <v>28</v>
      </c>
      <c r="D5716" s="29">
        <f t="shared" si="526"/>
        <v>666</v>
      </c>
      <c r="F5716" s="129">
        <f t="shared" si="522"/>
        <v>0</v>
      </c>
    </row>
    <row r="5717" spans="1:10" x14ac:dyDescent="0.25">
      <c r="A5717" s="140" t="s">
        <v>21</v>
      </c>
      <c r="B5717" s="136">
        <v>44131</v>
      </c>
      <c r="C5717" s="4">
        <v>167</v>
      </c>
      <c r="D5717" s="29">
        <f t="shared" si="526"/>
        <v>13394</v>
      </c>
      <c r="E5717" s="4">
        <f>4+3</f>
        <v>7</v>
      </c>
      <c r="F5717" s="129">
        <f t="shared" si="522"/>
        <v>413</v>
      </c>
    </row>
    <row r="5718" spans="1:10" x14ac:dyDescent="0.25">
      <c r="A5718" s="140" t="s">
        <v>36</v>
      </c>
      <c r="B5718" s="136">
        <v>44131</v>
      </c>
      <c r="C5718" s="4">
        <v>318</v>
      </c>
      <c r="D5718" s="29">
        <f t="shared" si="526"/>
        <v>13299</v>
      </c>
      <c r="E5718" s="4">
        <f>13+11</f>
        <v>24</v>
      </c>
      <c r="F5718" s="129">
        <f t="shared" si="522"/>
        <v>242</v>
      </c>
    </row>
    <row r="5719" spans="1:10" x14ac:dyDescent="0.25">
      <c r="A5719" s="140" t="s">
        <v>27</v>
      </c>
      <c r="B5719" s="136">
        <v>44131</v>
      </c>
      <c r="C5719" s="4">
        <v>1819</v>
      </c>
      <c r="D5719" s="29">
        <f t="shared" si="526"/>
        <v>79085</v>
      </c>
      <c r="E5719" s="4">
        <f>19+19</f>
        <v>38</v>
      </c>
      <c r="F5719" s="129">
        <f t="shared" si="522"/>
        <v>1175</v>
      </c>
    </row>
    <row r="5720" spans="1:10" x14ac:dyDescent="0.25">
      <c r="A5720" s="140" t="s">
        <v>37</v>
      </c>
      <c r="B5720" s="136">
        <v>44131</v>
      </c>
      <c r="C5720" s="4">
        <v>17</v>
      </c>
      <c r="D5720" s="29">
        <f t="shared" si="526"/>
        <v>2400</v>
      </c>
      <c r="F5720" s="129">
        <f t="shared" si="522"/>
        <v>43</v>
      </c>
    </row>
    <row r="5721" spans="1:10" x14ac:dyDescent="0.25">
      <c r="A5721" s="140" t="s">
        <v>38</v>
      </c>
      <c r="B5721" s="136">
        <v>44131</v>
      </c>
      <c r="C5721" s="4">
        <v>395</v>
      </c>
      <c r="D5721" s="29">
        <f t="shared" si="526"/>
        <v>14687</v>
      </c>
      <c r="E5721" s="4">
        <f>4+2</f>
        <v>6</v>
      </c>
      <c r="F5721" s="129">
        <f t="shared" si="522"/>
        <v>257</v>
      </c>
    </row>
    <row r="5722" spans="1:10" x14ac:dyDescent="0.25">
      <c r="A5722" s="140" t="s">
        <v>48</v>
      </c>
      <c r="B5722" s="136">
        <v>44131</v>
      </c>
      <c r="C5722" s="4">
        <v>3</v>
      </c>
      <c r="D5722" s="29">
        <f t="shared" si="526"/>
        <v>148</v>
      </c>
      <c r="F5722" s="129">
        <f t="shared" si="522"/>
        <v>1</v>
      </c>
    </row>
    <row r="5723" spans="1:10" x14ac:dyDescent="0.25">
      <c r="A5723" s="140" t="s">
        <v>39</v>
      </c>
      <c r="B5723" s="136">
        <v>44131</v>
      </c>
      <c r="C5723" s="4">
        <v>35</v>
      </c>
      <c r="D5723" s="29">
        <f t="shared" si="526"/>
        <v>17687</v>
      </c>
      <c r="E5723" s="4">
        <f>9+2</f>
        <v>11</v>
      </c>
      <c r="F5723" s="129">
        <f t="shared" si="522"/>
        <v>797</v>
      </c>
    </row>
    <row r="5724" spans="1:10" x14ac:dyDescent="0.25">
      <c r="A5724" s="140" t="s">
        <v>40</v>
      </c>
      <c r="B5724" s="136">
        <v>44131</v>
      </c>
      <c r="C5724" s="4">
        <v>144</v>
      </c>
      <c r="D5724" s="29">
        <f t="shared" si="526"/>
        <v>2668</v>
      </c>
      <c r="E5724" s="4">
        <v>4</v>
      </c>
      <c r="F5724" s="129">
        <f t="shared" si="522"/>
        <v>29</v>
      </c>
    </row>
    <row r="5725" spans="1:10" x14ac:dyDescent="0.25">
      <c r="A5725" s="140" t="s">
        <v>28</v>
      </c>
      <c r="B5725" s="136">
        <v>44131</v>
      </c>
      <c r="C5725" s="4">
        <v>123</v>
      </c>
      <c r="D5725" s="29">
        <f t="shared" si="526"/>
        <v>7296</v>
      </c>
      <c r="E5725" s="4">
        <f>5+3</f>
        <v>8</v>
      </c>
      <c r="F5725" s="129">
        <f t="shared" si="522"/>
        <v>260</v>
      </c>
    </row>
    <row r="5726" spans="1:10" x14ac:dyDescent="0.25">
      <c r="A5726" s="140" t="s">
        <v>24</v>
      </c>
      <c r="B5726" s="136">
        <v>44131</v>
      </c>
      <c r="C5726" s="4">
        <v>771</v>
      </c>
      <c r="D5726" s="29">
        <f t="shared" si="526"/>
        <v>44372</v>
      </c>
      <c r="E5726" s="4">
        <f>8+4</f>
        <v>12</v>
      </c>
      <c r="F5726" s="129">
        <f t="shared" si="522"/>
        <v>728</v>
      </c>
    </row>
    <row r="5727" spans="1:10" x14ac:dyDescent="0.25">
      <c r="A5727" s="140" t="s">
        <v>30</v>
      </c>
      <c r="B5727" s="136">
        <v>44131</v>
      </c>
      <c r="C5727" s="4">
        <v>11</v>
      </c>
      <c r="D5727" s="29">
        <f t="shared" si="526"/>
        <v>240</v>
      </c>
      <c r="F5727" s="129">
        <f t="shared" si="522"/>
        <v>5</v>
      </c>
    </row>
    <row r="5728" spans="1:10" x14ac:dyDescent="0.25">
      <c r="A5728" s="140" t="s">
        <v>26</v>
      </c>
      <c r="B5728" s="136">
        <v>44131</v>
      </c>
      <c r="C5728" s="4">
        <v>414</v>
      </c>
      <c r="D5728" s="29">
        <f t="shared" si="526"/>
        <v>20192</v>
      </c>
      <c r="E5728" s="4">
        <f>5+5</f>
        <v>10</v>
      </c>
      <c r="F5728" s="129">
        <f t="shared" si="522"/>
        <v>371</v>
      </c>
    </row>
    <row r="5729" spans="1:6" x14ac:dyDescent="0.25">
      <c r="A5729" s="140" t="s">
        <v>25</v>
      </c>
      <c r="B5729" s="136">
        <v>44131</v>
      </c>
      <c r="C5729" s="4">
        <v>461</v>
      </c>
      <c r="D5729" s="29">
        <f t="shared" si="526"/>
        <v>22529</v>
      </c>
      <c r="E5729" s="4">
        <f>5+4</f>
        <v>9</v>
      </c>
      <c r="F5729" s="129">
        <f t="shared" si="522"/>
        <v>581</v>
      </c>
    </row>
    <row r="5730" spans="1:6" x14ac:dyDescent="0.25">
      <c r="A5730" s="140" t="s">
        <v>41</v>
      </c>
      <c r="B5730" s="136">
        <v>44131</v>
      </c>
      <c r="C5730" s="4">
        <v>156</v>
      </c>
      <c r="D5730" s="29">
        <f t="shared" si="526"/>
        <v>18281</v>
      </c>
      <c r="E5730" s="4">
        <f>5+4</f>
        <v>9</v>
      </c>
      <c r="F5730" s="129">
        <f t="shared" si="522"/>
        <v>745</v>
      </c>
    </row>
    <row r="5731" spans="1:6" x14ac:dyDescent="0.25">
      <c r="A5731" s="140" t="s">
        <v>42</v>
      </c>
      <c r="B5731" s="136">
        <v>44131</v>
      </c>
      <c r="C5731" s="4">
        <v>40</v>
      </c>
      <c r="D5731" s="29">
        <f t="shared" si="526"/>
        <v>1436</v>
      </c>
      <c r="E5731" s="4">
        <f>1</f>
        <v>1</v>
      </c>
      <c r="F5731" s="129">
        <f t="shared" si="522"/>
        <v>78</v>
      </c>
    </row>
    <row r="5732" spans="1:6" x14ac:dyDescent="0.25">
      <c r="A5732" s="140" t="s">
        <v>43</v>
      </c>
      <c r="B5732" s="136">
        <v>44131</v>
      </c>
      <c r="C5732" s="4">
        <v>446</v>
      </c>
      <c r="D5732" s="29">
        <f t="shared" si="526"/>
        <v>6065</v>
      </c>
      <c r="E5732" s="4">
        <f>1</f>
        <v>1</v>
      </c>
      <c r="F5732" s="129">
        <f t="shared" si="522"/>
        <v>53</v>
      </c>
    </row>
    <row r="5733" spans="1:6" x14ac:dyDescent="0.25">
      <c r="A5733" s="140" t="s">
        <v>44</v>
      </c>
      <c r="B5733" s="136">
        <v>44131</v>
      </c>
      <c r="C5733" s="4">
        <v>91</v>
      </c>
      <c r="D5733" s="29">
        <f t="shared" si="526"/>
        <v>8646</v>
      </c>
      <c r="E5733" s="4">
        <f>1</f>
        <v>1</v>
      </c>
      <c r="F5733" s="129">
        <f t="shared" si="522"/>
        <v>117</v>
      </c>
    </row>
    <row r="5734" spans="1:6" x14ac:dyDescent="0.25">
      <c r="A5734" s="140" t="s">
        <v>29</v>
      </c>
      <c r="B5734" s="136">
        <v>44131</v>
      </c>
      <c r="C5734" s="4">
        <v>2235</v>
      </c>
      <c r="D5734" s="29">
        <f t="shared" si="526"/>
        <v>98475</v>
      </c>
      <c r="E5734" s="4">
        <f>19+10</f>
        <v>29</v>
      </c>
      <c r="F5734" s="129">
        <f t="shared" si="522"/>
        <v>1123</v>
      </c>
    </row>
    <row r="5735" spans="1:6" x14ac:dyDescent="0.25">
      <c r="A5735" s="140" t="s">
        <v>45</v>
      </c>
      <c r="B5735" s="136">
        <v>44131</v>
      </c>
      <c r="C5735" s="4">
        <v>144</v>
      </c>
      <c r="D5735" s="29">
        <f t="shared" ref="D5735:D5736" si="527">C5735+D5711</f>
        <v>8769</v>
      </c>
      <c r="E5735" s="4">
        <f>1</f>
        <v>1</v>
      </c>
      <c r="F5735" s="129">
        <f t="shared" si="522"/>
        <v>116</v>
      </c>
    </row>
    <row r="5736" spans="1:6" x14ac:dyDescent="0.25">
      <c r="A5736" s="140" t="s">
        <v>46</v>
      </c>
      <c r="B5736" s="136">
        <v>44131</v>
      </c>
      <c r="C5736" s="4">
        <v>231</v>
      </c>
      <c r="D5736" s="29">
        <f t="shared" si="527"/>
        <v>10588</v>
      </c>
      <c r="E5736" s="4">
        <v>5</v>
      </c>
      <c r="F5736" s="129">
        <f t="shared" si="522"/>
        <v>137</v>
      </c>
    </row>
    <row r="5737" spans="1:6" ht="15.75" thickBot="1" x14ac:dyDescent="0.3">
      <c r="A5737" s="141" t="s">
        <v>47</v>
      </c>
      <c r="B5737" s="136">
        <v>44131</v>
      </c>
      <c r="C5737" s="54">
        <v>1440</v>
      </c>
      <c r="D5737" s="29">
        <f t="shared" ref="D5737:D5758" si="528">C5737+D5713</f>
        <v>45567</v>
      </c>
      <c r="E5737" s="54">
        <f>12+11</f>
        <v>23</v>
      </c>
      <c r="F5737" s="139">
        <f t="shared" si="522"/>
        <v>709</v>
      </c>
    </row>
    <row r="5738" spans="1:6" x14ac:dyDescent="0.25">
      <c r="A5738" s="222" t="s">
        <v>22</v>
      </c>
      <c r="B5738" s="136">
        <v>44132</v>
      </c>
      <c r="C5738" s="4">
        <v>4238</v>
      </c>
      <c r="D5738" s="144">
        <f t="shared" si="528"/>
        <v>539446</v>
      </c>
      <c r="E5738" s="4">
        <f>61+61</f>
        <v>122</v>
      </c>
      <c r="F5738" s="128">
        <f t="shared" ref="F5738:F5801" si="529">E5738+F5714</f>
        <v>17240</v>
      </c>
    </row>
    <row r="5739" spans="1:6" x14ac:dyDescent="0.25">
      <c r="A5739" s="140" t="s">
        <v>20</v>
      </c>
      <c r="B5739" s="136">
        <v>44132</v>
      </c>
      <c r="C5739" s="4">
        <v>641</v>
      </c>
      <c r="D5739" s="29">
        <f t="shared" si="528"/>
        <v>145744</v>
      </c>
      <c r="E5739" s="4">
        <f>20+16</f>
        <v>36</v>
      </c>
      <c r="F5739" s="129">
        <f t="shared" si="529"/>
        <v>4662</v>
      </c>
    </row>
    <row r="5740" spans="1:6" x14ac:dyDescent="0.25">
      <c r="A5740" s="140" t="s">
        <v>35</v>
      </c>
      <c r="B5740" s="136">
        <v>44132</v>
      </c>
      <c r="C5740" s="4">
        <v>54</v>
      </c>
      <c r="D5740" s="29">
        <f t="shared" si="528"/>
        <v>720</v>
      </c>
      <c r="F5740" s="129">
        <f t="shared" si="529"/>
        <v>0</v>
      </c>
    </row>
    <row r="5741" spans="1:6" x14ac:dyDescent="0.25">
      <c r="A5741" s="140" t="s">
        <v>21</v>
      </c>
      <c r="B5741" s="136">
        <v>44132</v>
      </c>
      <c r="C5741" s="4">
        <v>186</v>
      </c>
      <c r="D5741" s="29">
        <f t="shared" si="528"/>
        <v>13580</v>
      </c>
      <c r="E5741" s="4">
        <f>1+5</f>
        <v>6</v>
      </c>
      <c r="F5741" s="129">
        <f t="shared" si="529"/>
        <v>419</v>
      </c>
    </row>
    <row r="5742" spans="1:6" x14ac:dyDescent="0.25">
      <c r="A5742" s="140" t="s">
        <v>36</v>
      </c>
      <c r="B5742" s="136">
        <v>44132</v>
      </c>
      <c r="C5742" s="4">
        <v>295</v>
      </c>
      <c r="D5742" s="29">
        <f t="shared" si="528"/>
        <v>13594</v>
      </c>
      <c r="F5742" s="129">
        <f t="shared" si="529"/>
        <v>242</v>
      </c>
    </row>
    <row r="5743" spans="1:6" x14ac:dyDescent="0.25">
      <c r="A5743" s="140" t="s">
        <v>27</v>
      </c>
      <c r="B5743" s="136">
        <v>44132</v>
      </c>
      <c r="C5743" s="4">
        <v>1848</v>
      </c>
      <c r="D5743" s="29">
        <f t="shared" si="528"/>
        <v>80933</v>
      </c>
      <c r="E5743" s="4">
        <f>16+17</f>
        <v>33</v>
      </c>
      <c r="F5743" s="129">
        <f t="shared" si="529"/>
        <v>1208</v>
      </c>
    </row>
    <row r="5744" spans="1:6" x14ac:dyDescent="0.25">
      <c r="A5744" s="140" t="s">
        <v>37</v>
      </c>
      <c r="B5744" s="136">
        <v>44132</v>
      </c>
      <c r="C5744" s="4">
        <v>69</v>
      </c>
      <c r="D5744" s="29">
        <f t="shared" si="528"/>
        <v>2469</v>
      </c>
      <c r="E5744" s="4">
        <f>2+2</f>
        <v>4</v>
      </c>
      <c r="F5744" s="129">
        <f t="shared" si="529"/>
        <v>47</v>
      </c>
    </row>
    <row r="5745" spans="1:6" x14ac:dyDescent="0.25">
      <c r="A5745" s="140" t="s">
        <v>38</v>
      </c>
      <c r="B5745" s="136">
        <v>44132</v>
      </c>
      <c r="C5745" s="4">
        <v>343</v>
      </c>
      <c r="D5745" s="29">
        <f t="shared" si="528"/>
        <v>15030</v>
      </c>
      <c r="E5745" s="4">
        <v>10</v>
      </c>
      <c r="F5745" s="129">
        <f t="shared" si="529"/>
        <v>267</v>
      </c>
    </row>
    <row r="5746" spans="1:6" x14ac:dyDescent="0.25">
      <c r="A5746" s="140" t="s">
        <v>48</v>
      </c>
      <c r="B5746" s="136">
        <v>44132</v>
      </c>
      <c r="C5746" s="4">
        <v>1</v>
      </c>
      <c r="D5746" s="29">
        <f t="shared" si="528"/>
        <v>149</v>
      </c>
      <c r="F5746" s="129">
        <f t="shared" si="529"/>
        <v>1</v>
      </c>
    </row>
    <row r="5747" spans="1:6" x14ac:dyDescent="0.25">
      <c r="A5747" s="140" t="s">
        <v>39</v>
      </c>
      <c r="B5747" s="136">
        <v>44132</v>
      </c>
      <c r="C5747" s="4">
        <v>53</v>
      </c>
      <c r="D5747" s="29">
        <f t="shared" si="528"/>
        <v>17740</v>
      </c>
      <c r="E5747" s="4">
        <f>1+1</f>
        <v>2</v>
      </c>
      <c r="F5747" s="129">
        <f t="shared" si="529"/>
        <v>799</v>
      </c>
    </row>
    <row r="5748" spans="1:6" x14ac:dyDescent="0.25">
      <c r="A5748" s="140" t="s">
        <v>40</v>
      </c>
      <c r="B5748" s="136">
        <v>44132</v>
      </c>
      <c r="C5748" s="4">
        <v>161</v>
      </c>
      <c r="D5748" s="29">
        <f t="shared" si="528"/>
        <v>2829</v>
      </c>
      <c r="F5748" s="129">
        <f t="shared" si="529"/>
        <v>29</v>
      </c>
    </row>
    <row r="5749" spans="1:6" x14ac:dyDescent="0.25">
      <c r="A5749" s="140" t="s">
        <v>28</v>
      </c>
      <c r="B5749" s="136">
        <v>44132</v>
      </c>
      <c r="C5749" s="4">
        <v>90</v>
      </c>
      <c r="D5749" s="29">
        <f t="shared" si="528"/>
        <v>7386</v>
      </c>
      <c r="E5749" s="4">
        <f>4</f>
        <v>4</v>
      </c>
      <c r="F5749" s="129">
        <f t="shared" si="529"/>
        <v>264</v>
      </c>
    </row>
    <row r="5750" spans="1:6" x14ac:dyDescent="0.25">
      <c r="A5750" s="140" t="s">
        <v>24</v>
      </c>
      <c r="B5750" s="136">
        <v>44132</v>
      </c>
      <c r="C5750" s="4">
        <v>675</v>
      </c>
      <c r="D5750" s="29">
        <f t="shared" si="528"/>
        <v>45047</v>
      </c>
      <c r="E5750" s="4">
        <f>7+5</f>
        <v>12</v>
      </c>
      <c r="F5750" s="129">
        <f t="shared" si="529"/>
        <v>740</v>
      </c>
    </row>
    <row r="5751" spans="1:6" x14ac:dyDescent="0.25">
      <c r="A5751" s="140" t="s">
        <v>30</v>
      </c>
      <c r="B5751" s="136">
        <v>44132</v>
      </c>
      <c r="C5751" s="4">
        <v>9</v>
      </c>
      <c r="D5751" s="29">
        <f t="shared" si="528"/>
        <v>249</v>
      </c>
      <c r="F5751" s="129">
        <f t="shared" si="529"/>
        <v>5</v>
      </c>
    </row>
    <row r="5752" spans="1:6" x14ac:dyDescent="0.25">
      <c r="A5752" s="140" t="s">
        <v>26</v>
      </c>
      <c r="B5752" s="136">
        <v>44132</v>
      </c>
      <c r="C5752" s="4">
        <v>384</v>
      </c>
      <c r="D5752" s="29">
        <f t="shared" si="528"/>
        <v>20576</v>
      </c>
      <c r="E5752" s="4">
        <f>8+5</f>
        <v>13</v>
      </c>
      <c r="F5752" s="129">
        <f t="shared" si="529"/>
        <v>384</v>
      </c>
    </row>
    <row r="5753" spans="1:6" x14ac:dyDescent="0.25">
      <c r="A5753" s="140" t="s">
        <v>25</v>
      </c>
      <c r="B5753" s="136">
        <v>44132</v>
      </c>
      <c r="C5753" s="4">
        <v>450</v>
      </c>
      <c r="D5753" s="29">
        <f t="shared" si="528"/>
        <v>22979</v>
      </c>
      <c r="E5753" s="4">
        <f>5+5</f>
        <v>10</v>
      </c>
      <c r="F5753" s="129">
        <f t="shared" si="529"/>
        <v>591</v>
      </c>
    </row>
    <row r="5754" spans="1:6" x14ac:dyDescent="0.25">
      <c r="A5754" s="140" t="s">
        <v>41</v>
      </c>
      <c r="B5754" s="136">
        <v>44132</v>
      </c>
      <c r="C5754" s="4">
        <v>219</v>
      </c>
      <c r="D5754" s="29">
        <f t="shared" si="528"/>
        <v>18500</v>
      </c>
      <c r="E5754" s="4">
        <f>7+5</f>
        <v>12</v>
      </c>
      <c r="F5754" s="129">
        <f t="shared" si="529"/>
        <v>757</v>
      </c>
    </row>
    <row r="5755" spans="1:6" x14ac:dyDescent="0.25">
      <c r="A5755" s="140" t="s">
        <v>42</v>
      </c>
      <c r="B5755" s="136">
        <v>44132</v>
      </c>
      <c r="C5755" s="4">
        <v>144</v>
      </c>
      <c r="D5755" s="29">
        <f t="shared" si="528"/>
        <v>1580</v>
      </c>
      <c r="E5755" s="4">
        <f>2+3</f>
        <v>5</v>
      </c>
      <c r="F5755" s="129">
        <f t="shared" si="529"/>
        <v>83</v>
      </c>
    </row>
    <row r="5756" spans="1:6" x14ac:dyDescent="0.25">
      <c r="A5756" s="140" t="s">
        <v>43</v>
      </c>
      <c r="B5756" s="136">
        <v>44132</v>
      </c>
      <c r="C5756" s="4">
        <v>167</v>
      </c>
      <c r="D5756" s="29">
        <f t="shared" si="528"/>
        <v>6232</v>
      </c>
      <c r="F5756" s="129">
        <f t="shared" si="529"/>
        <v>53</v>
      </c>
    </row>
    <row r="5757" spans="1:6" x14ac:dyDescent="0.25">
      <c r="A5757" s="140" t="s">
        <v>44</v>
      </c>
      <c r="B5757" s="136">
        <v>44132</v>
      </c>
      <c r="C5757" s="4">
        <v>239</v>
      </c>
      <c r="D5757" s="29">
        <f t="shared" si="528"/>
        <v>8885</v>
      </c>
      <c r="F5757" s="129">
        <f t="shared" si="529"/>
        <v>117</v>
      </c>
    </row>
    <row r="5758" spans="1:6" x14ac:dyDescent="0.25">
      <c r="A5758" s="140" t="s">
        <v>29</v>
      </c>
      <c r="B5758" s="136">
        <v>44132</v>
      </c>
      <c r="C5758" s="4">
        <v>2003</v>
      </c>
      <c r="D5758" s="29">
        <f t="shared" si="528"/>
        <v>100478</v>
      </c>
      <c r="E5758" s="4">
        <f>24+19</f>
        <v>43</v>
      </c>
      <c r="F5758" s="129">
        <f t="shared" si="529"/>
        <v>1166</v>
      </c>
    </row>
    <row r="5759" spans="1:6" x14ac:dyDescent="0.25">
      <c r="A5759" s="140" t="s">
        <v>45</v>
      </c>
      <c r="B5759" s="136">
        <v>44132</v>
      </c>
      <c r="C5759" s="4">
        <v>292</v>
      </c>
      <c r="D5759" s="29">
        <f t="shared" ref="D5759:D5760" si="530">C5759+D5735</f>
        <v>9061</v>
      </c>
      <c r="E5759" s="4">
        <f>2+2</f>
        <v>4</v>
      </c>
      <c r="F5759" s="129">
        <f t="shared" si="529"/>
        <v>120</v>
      </c>
    </row>
    <row r="5760" spans="1:6" x14ac:dyDescent="0.25">
      <c r="A5760" s="140" t="s">
        <v>46</v>
      </c>
      <c r="B5760" s="136">
        <v>44132</v>
      </c>
      <c r="C5760" s="4">
        <v>236</v>
      </c>
      <c r="D5760" s="29">
        <f t="shared" si="530"/>
        <v>10824</v>
      </c>
      <c r="E5760" s="4">
        <f>3+1</f>
        <v>4</v>
      </c>
      <c r="F5760" s="129">
        <f t="shared" si="529"/>
        <v>141</v>
      </c>
    </row>
    <row r="5761" spans="1:6" ht="15.75" thickBot="1" x14ac:dyDescent="0.3">
      <c r="A5761" s="141" t="s">
        <v>47</v>
      </c>
      <c r="B5761" s="136">
        <v>44132</v>
      </c>
      <c r="C5761" s="4">
        <v>1127</v>
      </c>
      <c r="D5761" s="29">
        <f>C5761+D5737</f>
        <v>46694</v>
      </c>
      <c r="E5761" s="4">
        <f>17+7</f>
        <v>24</v>
      </c>
      <c r="F5761" s="139">
        <f t="shared" si="529"/>
        <v>733</v>
      </c>
    </row>
    <row r="5762" spans="1:6" x14ac:dyDescent="0.25">
      <c r="A5762" s="222" t="s">
        <v>22</v>
      </c>
      <c r="B5762" s="136">
        <v>44133</v>
      </c>
      <c r="C5762" s="4">
        <v>3708</v>
      </c>
      <c r="D5762" s="144">
        <f>543181</f>
        <v>543181</v>
      </c>
      <c r="E5762" s="4">
        <f>78+60</f>
        <v>138</v>
      </c>
      <c r="F5762" s="128">
        <f t="shared" si="529"/>
        <v>17378</v>
      </c>
    </row>
    <row r="5763" spans="1:6" x14ac:dyDescent="0.25">
      <c r="A5763" s="140" t="s">
        <v>20</v>
      </c>
      <c r="B5763" s="136">
        <v>44133</v>
      </c>
      <c r="C5763" s="4">
        <v>512</v>
      </c>
      <c r="D5763" s="29">
        <f t="shared" ref="D5763:D5825" si="531">C5763+D5739</f>
        <v>146256</v>
      </c>
      <c r="E5763" s="4">
        <f>15+23</f>
        <v>38</v>
      </c>
      <c r="F5763" s="129">
        <f t="shared" si="529"/>
        <v>4700</v>
      </c>
    </row>
    <row r="5764" spans="1:6" x14ac:dyDescent="0.25">
      <c r="A5764" s="140" t="s">
        <v>35</v>
      </c>
      <c r="B5764" s="136">
        <v>44133</v>
      </c>
      <c r="C5764" s="4">
        <v>16</v>
      </c>
      <c r="D5764" s="29">
        <f t="shared" si="531"/>
        <v>736</v>
      </c>
      <c r="F5764" s="129">
        <f t="shared" si="529"/>
        <v>0</v>
      </c>
    </row>
    <row r="5765" spans="1:6" x14ac:dyDescent="0.25">
      <c r="A5765" s="140" t="s">
        <v>21</v>
      </c>
      <c r="B5765" s="136">
        <v>44133</v>
      </c>
      <c r="C5765" s="4">
        <v>130</v>
      </c>
      <c r="D5765" s="29">
        <f t="shared" si="531"/>
        <v>13710</v>
      </c>
      <c r="E5765" s="4">
        <f>2+2</f>
        <v>4</v>
      </c>
      <c r="F5765" s="129">
        <f t="shared" si="529"/>
        <v>423</v>
      </c>
    </row>
    <row r="5766" spans="1:6" x14ac:dyDescent="0.25">
      <c r="A5766" s="140" t="s">
        <v>36</v>
      </c>
      <c r="B5766" s="136">
        <v>44133</v>
      </c>
      <c r="C5766" s="4">
        <v>284</v>
      </c>
      <c r="D5766" s="29">
        <f t="shared" si="531"/>
        <v>13878</v>
      </c>
      <c r="E5766" s="4">
        <f>2</f>
        <v>2</v>
      </c>
      <c r="F5766" s="129">
        <f t="shared" si="529"/>
        <v>244</v>
      </c>
    </row>
    <row r="5767" spans="1:6" x14ac:dyDescent="0.25">
      <c r="A5767" s="140" t="s">
        <v>27</v>
      </c>
      <c r="B5767" s="136">
        <v>44133</v>
      </c>
      <c r="C5767" s="4">
        <v>1457</v>
      </c>
      <c r="D5767" s="29">
        <f t="shared" si="531"/>
        <v>82390</v>
      </c>
      <c r="E5767" s="4">
        <f>19+16</f>
        <v>35</v>
      </c>
      <c r="F5767" s="129">
        <f t="shared" si="529"/>
        <v>1243</v>
      </c>
    </row>
    <row r="5768" spans="1:6" x14ac:dyDescent="0.25">
      <c r="A5768" s="140" t="s">
        <v>37</v>
      </c>
      <c r="B5768" s="136">
        <v>44133</v>
      </c>
      <c r="C5768" s="4">
        <v>61</v>
      </c>
      <c r="D5768" s="29">
        <f t="shared" si="531"/>
        <v>2530</v>
      </c>
      <c r="F5768" s="129">
        <f t="shared" si="529"/>
        <v>47</v>
      </c>
    </row>
    <row r="5769" spans="1:6" x14ac:dyDescent="0.25">
      <c r="A5769" s="140" t="s">
        <v>38</v>
      </c>
      <c r="B5769" s="136">
        <v>44133</v>
      </c>
      <c r="C5769" s="4">
        <v>360</v>
      </c>
      <c r="D5769" s="29">
        <f t="shared" si="531"/>
        <v>15390</v>
      </c>
      <c r="E5769" s="4">
        <f>2+2</f>
        <v>4</v>
      </c>
      <c r="F5769" s="129">
        <f t="shared" si="529"/>
        <v>271</v>
      </c>
    </row>
    <row r="5770" spans="1:6" x14ac:dyDescent="0.25">
      <c r="A5770" s="140" t="s">
        <v>48</v>
      </c>
      <c r="B5770" s="136">
        <v>44133</v>
      </c>
      <c r="C5770" s="4">
        <v>1</v>
      </c>
      <c r="D5770" s="29">
        <f t="shared" si="531"/>
        <v>150</v>
      </c>
      <c r="F5770" s="129">
        <f t="shared" si="529"/>
        <v>1</v>
      </c>
    </row>
    <row r="5771" spans="1:6" x14ac:dyDescent="0.25">
      <c r="A5771" s="140" t="s">
        <v>39</v>
      </c>
      <c r="B5771" s="136">
        <v>44133</v>
      </c>
      <c r="C5771" s="4">
        <v>46</v>
      </c>
      <c r="D5771" s="29">
        <f t="shared" si="531"/>
        <v>17786</v>
      </c>
      <c r="E5771" s="4">
        <f>2+2</f>
        <v>4</v>
      </c>
      <c r="F5771" s="129">
        <f t="shared" si="529"/>
        <v>803</v>
      </c>
    </row>
    <row r="5772" spans="1:6" x14ac:dyDescent="0.25">
      <c r="A5772" s="140" t="s">
        <v>40</v>
      </c>
      <c r="B5772" s="136">
        <v>44133</v>
      </c>
      <c r="C5772" s="4">
        <v>231</v>
      </c>
      <c r="D5772" s="29">
        <f t="shared" si="531"/>
        <v>3060</v>
      </c>
      <c r="E5772" s="4">
        <f>3</f>
        <v>3</v>
      </c>
      <c r="F5772" s="129">
        <f t="shared" si="529"/>
        <v>32</v>
      </c>
    </row>
    <row r="5773" spans="1:6" x14ac:dyDescent="0.25">
      <c r="A5773" s="140" t="s">
        <v>28</v>
      </c>
      <c r="B5773" s="136">
        <v>44133</v>
      </c>
      <c r="C5773" s="4">
        <v>55</v>
      </c>
      <c r="D5773" s="29">
        <f t="shared" si="531"/>
        <v>7441</v>
      </c>
      <c r="F5773" s="129">
        <f t="shared" si="529"/>
        <v>264</v>
      </c>
    </row>
    <row r="5774" spans="1:6" x14ac:dyDescent="0.25">
      <c r="A5774" s="140" t="s">
        <v>24</v>
      </c>
      <c r="B5774" s="136">
        <v>44133</v>
      </c>
      <c r="C5774" s="4">
        <v>813</v>
      </c>
      <c r="D5774" s="29">
        <f t="shared" si="531"/>
        <v>45860</v>
      </c>
      <c r="E5774" s="4">
        <f>13+3</f>
        <v>16</v>
      </c>
      <c r="F5774" s="129">
        <f t="shared" si="529"/>
        <v>756</v>
      </c>
    </row>
    <row r="5775" spans="1:6" x14ac:dyDescent="0.25">
      <c r="A5775" s="140" t="s">
        <v>30</v>
      </c>
      <c r="B5775" s="136">
        <v>44133</v>
      </c>
      <c r="C5775" s="4">
        <v>11</v>
      </c>
      <c r="D5775" s="29">
        <f t="shared" si="531"/>
        <v>260</v>
      </c>
      <c r="F5775" s="129">
        <f t="shared" si="529"/>
        <v>5</v>
      </c>
    </row>
    <row r="5776" spans="1:6" x14ac:dyDescent="0.25">
      <c r="A5776" s="140" t="s">
        <v>26</v>
      </c>
      <c r="B5776" s="136">
        <v>44133</v>
      </c>
      <c r="C5776" s="4">
        <v>499</v>
      </c>
      <c r="D5776" s="29">
        <f t="shared" si="531"/>
        <v>21075</v>
      </c>
      <c r="E5776" s="4">
        <f>2</f>
        <v>2</v>
      </c>
      <c r="F5776" s="129">
        <f t="shared" si="529"/>
        <v>386</v>
      </c>
    </row>
    <row r="5777" spans="1:6" x14ac:dyDescent="0.25">
      <c r="A5777" s="140" t="s">
        <v>25</v>
      </c>
      <c r="B5777" s="136">
        <v>44133</v>
      </c>
      <c r="C5777" s="4">
        <v>451</v>
      </c>
      <c r="D5777" s="29">
        <v>23450</v>
      </c>
      <c r="E5777" s="4">
        <f>7+6</f>
        <v>13</v>
      </c>
      <c r="F5777" s="129">
        <f t="shared" si="529"/>
        <v>604</v>
      </c>
    </row>
    <row r="5778" spans="1:6" x14ac:dyDescent="0.25">
      <c r="A5778" s="140" t="s">
        <v>41</v>
      </c>
      <c r="B5778" s="136">
        <v>44133</v>
      </c>
      <c r="C5778" s="4">
        <v>157</v>
      </c>
      <c r="D5778" s="29">
        <v>18409</v>
      </c>
      <c r="E5778" s="4">
        <f>9+4</f>
        <v>13</v>
      </c>
      <c r="F5778" s="129">
        <f t="shared" si="529"/>
        <v>770</v>
      </c>
    </row>
    <row r="5779" spans="1:6" x14ac:dyDescent="0.25">
      <c r="A5779" s="140" t="s">
        <v>42</v>
      </c>
      <c r="B5779" s="136">
        <v>44133</v>
      </c>
      <c r="C5779" s="4">
        <v>297</v>
      </c>
      <c r="D5779" s="29">
        <f t="shared" si="531"/>
        <v>1877</v>
      </c>
      <c r="E5779" s="4">
        <f>1</f>
        <v>1</v>
      </c>
      <c r="F5779" s="129">
        <f t="shared" si="529"/>
        <v>84</v>
      </c>
    </row>
    <row r="5780" spans="1:6" x14ac:dyDescent="0.25">
      <c r="A5780" s="140" t="s">
        <v>43</v>
      </c>
      <c r="B5780" s="136">
        <v>44133</v>
      </c>
      <c r="C5780" s="4">
        <v>314</v>
      </c>
      <c r="D5780" s="29">
        <v>6556</v>
      </c>
      <c r="E5780" s="4">
        <f>1</f>
        <v>1</v>
      </c>
      <c r="F5780" s="129">
        <f t="shared" si="529"/>
        <v>54</v>
      </c>
    </row>
    <row r="5781" spans="1:6" x14ac:dyDescent="0.25">
      <c r="A5781" s="140" t="s">
        <v>44</v>
      </c>
      <c r="B5781" s="136">
        <v>44133</v>
      </c>
      <c r="C5781" s="4">
        <v>250</v>
      </c>
      <c r="D5781" s="29">
        <f t="shared" si="531"/>
        <v>9135</v>
      </c>
      <c r="E5781" s="4">
        <f>6+5</f>
        <v>11</v>
      </c>
      <c r="F5781" s="129">
        <f t="shared" si="529"/>
        <v>128</v>
      </c>
    </row>
    <row r="5782" spans="1:6" x14ac:dyDescent="0.25">
      <c r="A5782" s="140" t="s">
        <v>29</v>
      </c>
      <c r="B5782" s="136">
        <v>44133</v>
      </c>
      <c r="C5782" s="4">
        <v>2013</v>
      </c>
      <c r="D5782" s="29">
        <v>102490</v>
      </c>
      <c r="E5782" s="4">
        <f>42+24</f>
        <v>66</v>
      </c>
      <c r="F5782" s="129">
        <f t="shared" si="529"/>
        <v>1232</v>
      </c>
    </row>
    <row r="5783" spans="1:6" x14ac:dyDescent="0.25">
      <c r="A5783" s="140" t="s">
        <v>45</v>
      </c>
      <c r="B5783" s="136">
        <v>44133</v>
      </c>
      <c r="C5783" s="4">
        <v>308</v>
      </c>
      <c r="D5783" s="29">
        <v>9369</v>
      </c>
      <c r="E5783" s="4">
        <f>1</f>
        <v>1</v>
      </c>
      <c r="F5783" s="129">
        <f t="shared" si="529"/>
        <v>121</v>
      </c>
    </row>
    <row r="5784" spans="1:6" x14ac:dyDescent="0.25">
      <c r="A5784" s="140" t="s">
        <v>46</v>
      </c>
      <c r="B5784" s="136">
        <v>44133</v>
      </c>
      <c r="C5784" s="4">
        <v>204</v>
      </c>
      <c r="D5784" s="29">
        <f t="shared" si="531"/>
        <v>11028</v>
      </c>
      <c r="E5784" s="4">
        <f>3+1</f>
        <v>4</v>
      </c>
      <c r="F5784" s="129">
        <f t="shared" si="529"/>
        <v>145</v>
      </c>
    </row>
    <row r="5785" spans="1:6" ht="15.75" thickBot="1" x14ac:dyDescent="0.3">
      <c r="A5785" s="141" t="s">
        <v>47</v>
      </c>
      <c r="B5785" s="136">
        <v>44133</v>
      </c>
      <c r="C5785" s="4">
        <v>1089</v>
      </c>
      <c r="D5785" s="29">
        <f>C5785+D5761</f>
        <v>47783</v>
      </c>
      <c r="E5785" s="4">
        <f>10+5</f>
        <v>15</v>
      </c>
      <c r="F5785" s="139">
        <f t="shared" si="529"/>
        <v>748</v>
      </c>
    </row>
    <row r="5786" spans="1:6" x14ac:dyDescent="0.25">
      <c r="A5786" s="222" t="s">
        <v>22</v>
      </c>
      <c r="B5786" s="136">
        <v>44134</v>
      </c>
      <c r="C5786" s="4">
        <v>3830</v>
      </c>
      <c r="D5786" s="144">
        <f t="shared" si="531"/>
        <v>547011</v>
      </c>
      <c r="E5786" s="4">
        <f>70+47</f>
        <v>117</v>
      </c>
      <c r="F5786" s="128">
        <f t="shared" si="529"/>
        <v>17495</v>
      </c>
    </row>
    <row r="5787" spans="1:6" x14ac:dyDescent="0.25">
      <c r="A5787" s="140" t="s">
        <v>20</v>
      </c>
      <c r="B5787" s="136">
        <v>44134</v>
      </c>
      <c r="C5787" s="4">
        <v>504</v>
      </c>
      <c r="D5787" s="29">
        <f t="shared" si="531"/>
        <v>146760</v>
      </c>
      <c r="E5787" s="4">
        <f>14+22</f>
        <v>36</v>
      </c>
      <c r="F5787" s="129">
        <f t="shared" si="529"/>
        <v>4736</v>
      </c>
    </row>
    <row r="5788" spans="1:6" x14ac:dyDescent="0.25">
      <c r="A5788" s="140" t="s">
        <v>35</v>
      </c>
      <c r="B5788" s="136">
        <v>44134</v>
      </c>
      <c r="C5788" s="4">
        <v>83</v>
      </c>
      <c r="D5788" s="29">
        <f t="shared" si="531"/>
        <v>819</v>
      </c>
      <c r="F5788" s="129">
        <f t="shared" si="529"/>
        <v>0</v>
      </c>
    </row>
    <row r="5789" spans="1:6" x14ac:dyDescent="0.25">
      <c r="A5789" s="140" t="s">
        <v>21</v>
      </c>
      <c r="B5789" s="136">
        <v>44134</v>
      </c>
      <c r="C5789" s="4">
        <v>203</v>
      </c>
      <c r="D5789" s="29">
        <f t="shared" si="531"/>
        <v>13913</v>
      </c>
      <c r="E5789" s="4">
        <f>1</f>
        <v>1</v>
      </c>
      <c r="F5789" s="129">
        <f t="shared" si="529"/>
        <v>424</v>
      </c>
    </row>
    <row r="5790" spans="1:6" x14ac:dyDescent="0.25">
      <c r="A5790" s="140" t="s">
        <v>36</v>
      </c>
      <c r="B5790" s="136">
        <v>44134</v>
      </c>
      <c r="C5790" s="4">
        <v>309</v>
      </c>
      <c r="D5790" s="29">
        <f t="shared" si="531"/>
        <v>14187</v>
      </c>
      <c r="E5790" s="4">
        <f>1+1</f>
        <v>2</v>
      </c>
      <c r="F5790" s="129">
        <f t="shared" si="529"/>
        <v>246</v>
      </c>
    </row>
    <row r="5791" spans="1:6" x14ac:dyDescent="0.25">
      <c r="A5791" s="140" t="s">
        <v>27</v>
      </c>
      <c r="B5791" s="136">
        <v>44134</v>
      </c>
      <c r="C5791" s="4">
        <v>1601</v>
      </c>
      <c r="D5791" s="29">
        <f t="shared" si="531"/>
        <v>83991</v>
      </c>
      <c r="E5791" s="4">
        <f>15+12</f>
        <v>27</v>
      </c>
      <c r="F5791" s="129">
        <f t="shared" si="529"/>
        <v>1270</v>
      </c>
    </row>
    <row r="5792" spans="1:6" x14ac:dyDescent="0.25">
      <c r="A5792" s="140" t="s">
        <v>37</v>
      </c>
      <c r="B5792" s="136">
        <v>44134</v>
      </c>
      <c r="C5792" s="4">
        <v>9</v>
      </c>
      <c r="D5792" s="29">
        <f t="shared" si="531"/>
        <v>2539</v>
      </c>
      <c r="F5792" s="129">
        <f t="shared" si="529"/>
        <v>47</v>
      </c>
    </row>
    <row r="5793" spans="1:6" x14ac:dyDescent="0.25">
      <c r="A5793" s="140" t="s">
        <v>38</v>
      </c>
      <c r="B5793" s="136">
        <v>44134</v>
      </c>
      <c r="C5793" s="4">
        <v>343</v>
      </c>
      <c r="D5793" s="29">
        <f t="shared" si="531"/>
        <v>15733</v>
      </c>
      <c r="E5793" s="4">
        <f>2+3</f>
        <v>5</v>
      </c>
      <c r="F5793" s="129">
        <f t="shared" si="529"/>
        <v>276</v>
      </c>
    </row>
    <row r="5794" spans="1:6" x14ac:dyDescent="0.25">
      <c r="A5794" s="140" t="s">
        <v>48</v>
      </c>
      <c r="B5794" s="136">
        <v>44134</v>
      </c>
      <c r="C5794" s="4">
        <v>-1</v>
      </c>
      <c r="D5794" s="29">
        <f t="shared" si="531"/>
        <v>149</v>
      </c>
      <c r="F5794" s="129">
        <f t="shared" si="529"/>
        <v>1</v>
      </c>
    </row>
    <row r="5795" spans="1:6" x14ac:dyDescent="0.25">
      <c r="A5795" s="140" t="s">
        <v>39</v>
      </c>
      <c r="B5795" s="136">
        <v>44134</v>
      </c>
      <c r="C5795" s="4">
        <v>37</v>
      </c>
      <c r="D5795" s="29">
        <f t="shared" si="531"/>
        <v>17823</v>
      </c>
      <c r="E5795" s="4">
        <f>1+3</f>
        <v>4</v>
      </c>
      <c r="F5795" s="129">
        <f t="shared" si="529"/>
        <v>807</v>
      </c>
    </row>
    <row r="5796" spans="1:6" x14ac:dyDescent="0.25">
      <c r="A5796" s="140" t="s">
        <v>40</v>
      </c>
      <c r="B5796" s="136">
        <v>44134</v>
      </c>
      <c r="C5796" s="4">
        <v>129</v>
      </c>
      <c r="D5796" s="29">
        <f t="shared" si="531"/>
        <v>3189</v>
      </c>
      <c r="F5796" s="129">
        <f t="shared" si="529"/>
        <v>32</v>
      </c>
    </row>
    <row r="5797" spans="1:6" x14ac:dyDescent="0.25">
      <c r="A5797" s="140" t="s">
        <v>28</v>
      </c>
      <c r="B5797" s="136">
        <v>44134</v>
      </c>
      <c r="C5797" s="4">
        <v>73</v>
      </c>
      <c r="D5797" s="29">
        <f t="shared" si="531"/>
        <v>7514</v>
      </c>
      <c r="E5797" s="4">
        <f>3+3</f>
        <v>6</v>
      </c>
      <c r="F5797" s="129">
        <f t="shared" si="529"/>
        <v>270</v>
      </c>
    </row>
    <row r="5798" spans="1:6" x14ac:dyDescent="0.25">
      <c r="A5798" s="140" t="s">
        <v>24</v>
      </c>
      <c r="B5798" s="136">
        <v>44134</v>
      </c>
      <c r="C5798" s="4">
        <v>704</v>
      </c>
      <c r="D5798" s="29">
        <f t="shared" si="531"/>
        <v>46564</v>
      </c>
      <c r="E5798" s="4">
        <f>14+3</f>
        <v>17</v>
      </c>
      <c r="F5798" s="129">
        <f t="shared" si="529"/>
        <v>773</v>
      </c>
    </row>
    <row r="5799" spans="1:6" x14ac:dyDescent="0.25">
      <c r="A5799" s="140" t="s">
        <v>30</v>
      </c>
      <c r="B5799" s="136">
        <v>44134</v>
      </c>
      <c r="C5799" s="4">
        <v>10</v>
      </c>
      <c r="D5799" s="29">
        <f t="shared" si="531"/>
        <v>270</v>
      </c>
      <c r="F5799" s="129">
        <f t="shared" si="529"/>
        <v>5</v>
      </c>
    </row>
    <row r="5800" spans="1:6" x14ac:dyDescent="0.25">
      <c r="A5800" s="140" t="s">
        <v>26</v>
      </c>
      <c r="B5800" s="136">
        <v>44134</v>
      </c>
      <c r="C5800" s="4">
        <v>696</v>
      </c>
      <c r="D5800" s="29">
        <f t="shared" si="531"/>
        <v>21771</v>
      </c>
      <c r="E5800" s="4">
        <f>12+8</f>
        <v>20</v>
      </c>
      <c r="F5800" s="129">
        <f t="shared" si="529"/>
        <v>406</v>
      </c>
    </row>
    <row r="5801" spans="1:6" x14ac:dyDescent="0.25">
      <c r="A5801" s="140" t="s">
        <v>25</v>
      </c>
      <c r="B5801" s="136">
        <v>44134</v>
      </c>
      <c r="C5801" s="4">
        <v>288</v>
      </c>
      <c r="D5801" s="29">
        <f t="shared" si="531"/>
        <v>23738</v>
      </c>
      <c r="E5801" s="4">
        <f>4+1</f>
        <v>5</v>
      </c>
      <c r="F5801" s="129">
        <f t="shared" si="529"/>
        <v>609</v>
      </c>
    </row>
    <row r="5802" spans="1:6" x14ac:dyDescent="0.25">
      <c r="A5802" s="140" t="s">
        <v>41</v>
      </c>
      <c r="B5802" s="136">
        <v>44134</v>
      </c>
      <c r="C5802" s="4">
        <v>191</v>
      </c>
      <c r="D5802" s="29">
        <f t="shared" si="531"/>
        <v>18600</v>
      </c>
      <c r="E5802" s="4">
        <f>8+6</f>
        <v>14</v>
      </c>
      <c r="F5802" s="129">
        <f t="shared" ref="F5802:F5865" si="532">E5802+F5778</f>
        <v>784</v>
      </c>
    </row>
    <row r="5803" spans="1:6" x14ac:dyDescent="0.25">
      <c r="A5803" s="140" t="s">
        <v>42</v>
      </c>
      <c r="B5803" s="136">
        <v>44134</v>
      </c>
      <c r="C5803" s="4">
        <v>379</v>
      </c>
      <c r="D5803" s="29">
        <f t="shared" si="531"/>
        <v>2256</v>
      </c>
      <c r="E5803" s="4">
        <f>7+10</f>
        <v>17</v>
      </c>
      <c r="F5803" s="129">
        <f t="shared" si="532"/>
        <v>101</v>
      </c>
    </row>
    <row r="5804" spans="1:6" x14ac:dyDescent="0.25">
      <c r="A5804" s="140" t="s">
        <v>43</v>
      </c>
      <c r="B5804" s="136">
        <v>44134</v>
      </c>
      <c r="C5804" s="4">
        <v>258</v>
      </c>
      <c r="D5804" s="29">
        <f t="shared" si="531"/>
        <v>6814</v>
      </c>
      <c r="F5804" s="129">
        <f t="shared" si="532"/>
        <v>54</v>
      </c>
    </row>
    <row r="5805" spans="1:6" x14ac:dyDescent="0.25">
      <c r="A5805" s="140" t="s">
        <v>44</v>
      </c>
      <c r="B5805" s="136">
        <v>44134</v>
      </c>
      <c r="C5805" s="4">
        <v>214</v>
      </c>
      <c r="D5805" s="29">
        <f t="shared" si="531"/>
        <v>9349</v>
      </c>
      <c r="E5805" s="4">
        <f>1+1</f>
        <v>2</v>
      </c>
      <c r="F5805" s="129">
        <f t="shared" si="532"/>
        <v>130</v>
      </c>
    </row>
    <row r="5806" spans="1:6" x14ac:dyDescent="0.25">
      <c r="A5806" s="140" t="s">
        <v>29</v>
      </c>
      <c r="B5806" s="136">
        <v>44134</v>
      </c>
      <c r="C5806" s="4">
        <v>2140</v>
      </c>
      <c r="D5806" s="29">
        <f t="shared" si="531"/>
        <v>104630</v>
      </c>
      <c r="E5806" s="4">
        <f>29+20</f>
        <v>49</v>
      </c>
      <c r="F5806" s="129">
        <f t="shared" si="532"/>
        <v>1281</v>
      </c>
    </row>
    <row r="5807" spans="1:6" x14ac:dyDescent="0.25">
      <c r="A5807" s="140" t="s">
        <v>45</v>
      </c>
      <c r="B5807" s="136">
        <v>44134</v>
      </c>
      <c r="C5807" s="4">
        <v>209</v>
      </c>
      <c r="D5807" s="29">
        <f t="shared" si="531"/>
        <v>9578</v>
      </c>
      <c r="E5807" s="4">
        <f>4+4</f>
        <v>8</v>
      </c>
      <c r="F5807" s="129">
        <f t="shared" si="532"/>
        <v>129</v>
      </c>
    </row>
    <row r="5808" spans="1:6" x14ac:dyDescent="0.25">
      <c r="A5808" s="140" t="s">
        <v>46</v>
      </c>
      <c r="B5808" s="136">
        <v>44134</v>
      </c>
      <c r="C5808" s="4">
        <v>159</v>
      </c>
      <c r="D5808" s="29">
        <f t="shared" si="531"/>
        <v>11187</v>
      </c>
      <c r="E5808" s="4">
        <f>2</f>
        <v>2</v>
      </c>
      <c r="F5808" s="129">
        <f t="shared" si="532"/>
        <v>147</v>
      </c>
    </row>
    <row r="5809" spans="1:6" ht="15.75" thickBot="1" x14ac:dyDescent="0.3">
      <c r="A5809" s="142" t="s">
        <v>47</v>
      </c>
      <c r="B5809" s="138">
        <v>44134</v>
      </c>
      <c r="C5809" s="47">
        <v>1011</v>
      </c>
      <c r="D5809" s="85">
        <f>C5809+D5785</f>
        <v>48794</v>
      </c>
      <c r="E5809" s="47">
        <f>9+9</f>
        <v>18</v>
      </c>
      <c r="F5809" s="139">
        <f t="shared" si="532"/>
        <v>766</v>
      </c>
    </row>
    <row r="5810" spans="1:6" x14ac:dyDescent="0.25">
      <c r="A5810" s="64" t="s">
        <v>22</v>
      </c>
      <c r="B5810" s="49">
        <v>44135</v>
      </c>
      <c r="C5810" s="50">
        <v>2354</v>
      </c>
      <c r="D5810" s="131">
        <f t="shared" si="531"/>
        <v>549365</v>
      </c>
      <c r="E5810" s="50">
        <f>69+44+1</f>
        <v>114</v>
      </c>
      <c r="F5810" s="128">
        <f t="shared" si="532"/>
        <v>17609</v>
      </c>
    </row>
    <row r="5811" spans="1:6" x14ac:dyDescent="0.25">
      <c r="A5811" s="140" t="s">
        <v>20</v>
      </c>
      <c r="B5811" s="136">
        <v>44135</v>
      </c>
      <c r="C5811" s="4">
        <v>441</v>
      </c>
      <c r="D5811" s="29">
        <f t="shared" si="531"/>
        <v>147201</v>
      </c>
      <c r="E5811" s="4">
        <f>4+14</f>
        <v>18</v>
      </c>
      <c r="F5811" s="129">
        <f t="shared" si="532"/>
        <v>4754</v>
      </c>
    </row>
    <row r="5812" spans="1:6" x14ac:dyDescent="0.25">
      <c r="A5812" s="140" t="s">
        <v>35</v>
      </c>
      <c r="B5812" s="136">
        <v>44135</v>
      </c>
      <c r="C5812" s="4">
        <v>77</v>
      </c>
      <c r="D5812" s="29">
        <f t="shared" si="531"/>
        <v>896</v>
      </c>
      <c r="F5812" s="129">
        <f t="shared" si="532"/>
        <v>0</v>
      </c>
    </row>
    <row r="5813" spans="1:6" x14ac:dyDescent="0.25">
      <c r="A5813" s="140" t="s">
        <v>21</v>
      </c>
      <c r="B5813" s="136">
        <v>44135</v>
      </c>
      <c r="C5813" s="4">
        <v>137</v>
      </c>
      <c r="D5813" s="29">
        <f t="shared" si="531"/>
        <v>14050</v>
      </c>
      <c r="E5813" s="4">
        <f>2+1</f>
        <v>3</v>
      </c>
      <c r="F5813" s="129">
        <f t="shared" si="532"/>
        <v>427</v>
      </c>
    </row>
    <row r="5814" spans="1:6" x14ac:dyDescent="0.25">
      <c r="A5814" s="140" t="s">
        <v>36</v>
      </c>
      <c r="B5814" s="136">
        <v>44135</v>
      </c>
      <c r="C5814" s="4">
        <v>195</v>
      </c>
      <c r="D5814" s="29">
        <f t="shared" si="531"/>
        <v>14382</v>
      </c>
      <c r="E5814" s="4">
        <f>1+1</f>
        <v>2</v>
      </c>
      <c r="F5814" s="129">
        <f t="shared" si="532"/>
        <v>248</v>
      </c>
    </row>
    <row r="5815" spans="1:6" x14ac:dyDescent="0.25">
      <c r="A5815" s="140" t="s">
        <v>27</v>
      </c>
      <c r="B5815" s="136">
        <v>44135</v>
      </c>
      <c r="C5815" s="4">
        <v>1424</v>
      </c>
      <c r="D5815" s="29">
        <f t="shared" si="531"/>
        <v>85415</v>
      </c>
      <c r="E5815" s="4">
        <f>12+9</f>
        <v>21</v>
      </c>
      <c r="F5815" s="129">
        <f t="shared" si="532"/>
        <v>1291</v>
      </c>
    </row>
    <row r="5816" spans="1:6" x14ac:dyDescent="0.25">
      <c r="A5816" s="140" t="s">
        <v>37</v>
      </c>
      <c r="B5816" s="136">
        <v>44135</v>
      </c>
      <c r="C5816" s="4">
        <v>10</v>
      </c>
      <c r="D5816" s="29">
        <f t="shared" si="531"/>
        <v>2549</v>
      </c>
      <c r="F5816" s="129">
        <f t="shared" si="532"/>
        <v>47</v>
      </c>
    </row>
    <row r="5817" spans="1:6" x14ac:dyDescent="0.25">
      <c r="A5817" s="140" t="s">
        <v>38</v>
      </c>
      <c r="B5817" s="136">
        <v>44135</v>
      </c>
      <c r="C5817" s="4">
        <v>264</v>
      </c>
      <c r="D5817" s="29">
        <f t="shared" si="531"/>
        <v>15997</v>
      </c>
      <c r="E5817" s="4">
        <f>1</f>
        <v>1</v>
      </c>
      <c r="F5817" s="129">
        <f t="shared" si="532"/>
        <v>277</v>
      </c>
    </row>
    <row r="5818" spans="1:6" x14ac:dyDescent="0.25">
      <c r="A5818" s="140" t="s">
        <v>48</v>
      </c>
      <c r="B5818" s="136">
        <v>44135</v>
      </c>
      <c r="C5818" s="4">
        <v>4</v>
      </c>
      <c r="D5818" s="29">
        <f t="shared" si="531"/>
        <v>153</v>
      </c>
      <c r="F5818" s="129">
        <f t="shared" si="532"/>
        <v>1</v>
      </c>
    </row>
    <row r="5819" spans="1:6" x14ac:dyDescent="0.25">
      <c r="A5819" s="140" t="s">
        <v>39</v>
      </c>
      <c r="B5819" s="136">
        <v>44135</v>
      </c>
      <c r="C5819" s="4">
        <v>33</v>
      </c>
      <c r="D5819" s="29">
        <f t="shared" si="531"/>
        <v>17856</v>
      </c>
      <c r="E5819" s="4">
        <f>3+1</f>
        <v>4</v>
      </c>
      <c r="F5819" s="129">
        <f t="shared" si="532"/>
        <v>811</v>
      </c>
    </row>
    <row r="5820" spans="1:6" x14ac:dyDescent="0.25">
      <c r="A5820" s="140" t="s">
        <v>40</v>
      </c>
      <c r="B5820" s="136">
        <v>44135</v>
      </c>
      <c r="C5820" s="4">
        <v>90</v>
      </c>
      <c r="D5820" s="29">
        <f t="shared" si="531"/>
        <v>3279</v>
      </c>
      <c r="E5820" s="4">
        <f>1</f>
        <v>1</v>
      </c>
      <c r="F5820" s="129">
        <f t="shared" si="532"/>
        <v>33</v>
      </c>
    </row>
    <row r="5821" spans="1:6" x14ac:dyDescent="0.25">
      <c r="A5821" s="140" t="s">
        <v>28</v>
      </c>
      <c r="B5821" s="136">
        <v>44135</v>
      </c>
      <c r="C5821" s="4">
        <v>55</v>
      </c>
      <c r="D5821" s="29">
        <f t="shared" si="531"/>
        <v>7569</v>
      </c>
      <c r="E5821" s="4">
        <f>2</f>
        <v>2</v>
      </c>
      <c r="F5821" s="129">
        <f t="shared" si="532"/>
        <v>272</v>
      </c>
    </row>
    <row r="5822" spans="1:6" x14ac:dyDescent="0.25">
      <c r="A5822" s="140" t="s">
        <v>24</v>
      </c>
      <c r="B5822" s="136">
        <v>44135</v>
      </c>
      <c r="C5822" s="4">
        <v>509</v>
      </c>
      <c r="D5822" s="29">
        <f t="shared" si="531"/>
        <v>47073</v>
      </c>
      <c r="E5822" s="4">
        <f>4+1</f>
        <v>5</v>
      </c>
      <c r="F5822" s="129">
        <f t="shared" si="532"/>
        <v>778</v>
      </c>
    </row>
    <row r="5823" spans="1:6" x14ac:dyDescent="0.25">
      <c r="A5823" s="140" t="s">
        <v>30</v>
      </c>
      <c r="B5823" s="136">
        <v>44135</v>
      </c>
      <c r="C5823" s="4">
        <v>-9</v>
      </c>
      <c r="D5823" s="29">
        <f t="shared" si="531"/>
        <v>261</v>
      </c>
      <c r="F5823" s="129">
        <f t="shared" si="532"/>
        <v>5</v>
      </c>
    </row>
    <row r="5824" spans="1:6" x14ac:dyDescent="0.25">
      <c r="A5824" s="140" t="s">
        <v>26</v>
      </c>
      <c r="B5824" s="136">
        <v>44135</v>
      </c>
      <c r="C5824" s="4">
        <v>467</v>
      </c>
      <c r="D5824" s="29">
        <f t="shared" si="531"/>
        <v>22238</v>
      </c>
      <c r="E5824" s="4">
        <v>0</v>
      </c>
      <c r="F5824" s="129">
        <f t="shared" si="532"/>
        <v>406</v>
      </c>
    </row>
    <row r="5825" spans="1:6" x14ac:dyDescent="0.25">
      <c r="A5825" s="140" t="s">
        <v>25</v>
      </c>
      <c r="B5825" s="136">
        <v>44135</v>
      </c>
      <c r="C5825" s="4">
        <v>255</v>
      </c>
      <c r="D5825" s="29">
        <f t="shared" si="531"/>
        <v>23993</v>
      </c>
      <c r="E5825" s="4">
        <f>1+2</f>
        <v>3</v>
      </c>
      <c r="F5825" s="129">
        <f t="shared" si="532"/>
        <v>612</v>
      </c>
    </row>
    <row r="5826" spans="1:6" x14ac:dyDescent="0.25">
      <c r="A5826" s="140" t="s">
        <v>41</v>
      </c>
      <c r="B5826" s="136">
        <v>44135</v>
      </c>
      <c r="C5826" s="4">
        <v>146</v>
      </c>
      <c r="D5826" s="29">
        <f t="shared" ref="D5826:D5832" si="533">C5826+D5802</f>
        <v>18746</v>
      </c>
      <c r="E5826" s="4">
        <f>4+3</f>
        <v>7</v>
      </c>
      <c r="F5826" s="129">
        <f t="shared" si="532"/>
        <v>791</v>
      </c>
    </row>
    <row r="5827" spans="1:6" x14ac:dyDescent="0.25">
      <c r="A5827" s="140" t="s">
        <v>42</v>
      </c>
      <c r="B5827" s="136">
        <v>44135</v>
      </c>
      <c r="C5827" s="4">
        <v>110</v>
      </c>
      <c r="D5827" s="29">
        <f t="shared" si="533"/>
        <v>2366</v>
      </c>
      <c r="F5827" s="129">
        <f t="shared" si="532"/>
        <v>101</v>
      </c>
    </row>
    <row r="5828" spans="1:6" x14ac:dyDescent="0.25">
      <c r="A5828" s="140" t="s">
        <v>43</v>
      </c>
      <c r="B5828" s="136">
        <v>44135</v>
      </c>
      <c r="C5828" s="4">
        <v>167</v>
      </c>
      <c r="D5828" s="29">
        <f t="shared" si="533"/>
        <v>6981</v>
      </c>
      <c r="F5828" s="129">
        <f t="shared" si="532"/>
        <v>54</v>
      </c>
    </row>
    <row r="5829" spans="1:6" x14ac:dyDescent="0.25">
      <c r="A5829" s="140" t="s">
        <v>44</v>
      </c>
      <c r="B5829" s="136">
        <v>44135</v>
      </c>
      <c r="C5829" s="4">
        <v>159</v>
      </c>
      <c r="D5829" s="29">
        <f t="shared" si="533"/>
        <v>9508</v>
      </c>
      <c r="E5829" s="4">
        <f>3</f>
        <v>3</v>
      </c>
      <c r="F5829" s="129">
        <f t="shared" si="532"/>
        <v>133</v>
      </c>
    </row>
    <row r="5830" spans="1:6" x14ac:dyDescent="0.25">
      <c r="A5830" s="140" t="s">
        <v>29</v>
      </c>
      <c r="B5830" s="136">
        <v>44135</v>
      </c>
      <c r="C5830" s="4">
        <v>1718</v>
      </c>
      <c r="D5830" s="29">
        <f t="shared" si="533"/>
        <v>106348</v>
      </c>
      <c r="E5830" s="4">
        <f>5+11</f>
        <v>16</v>
      </c>
      <c r="F5830" s="129">
        <f t="shared" si="532"/>
        <v>1297</v>
      </c>
    </row>
    <row r="5831" spans="1:6" x14ac:dyDescent="0.25">
      <c r="A5831" s="140" t="s">
        <v>45</v>
      </c>
      <c r="B5831" s="136">
        <v>44135</v>
      </c>
      <c r="C5831" s="4">
        <v>221</v>
      </c>
      <c r="D5831" s="29">
        <f t="shared" si="533"/>
        <v>9799</v>
      </c>
      <c r="E5831" s="4">
        <f>3</f>
        <v>3</v>
      </c>
      <c r="F5831" s="129">
        <f t="shared" si="532"/>
        <v>132</v>
      </c>
    </row>
    <row r="5832" spans="1:6" x14ac:dyDescent="0.25">
      <c r="A5832" s="140" t="s">
        <v>46</v>
      </c>
      <c r="B5832" s="136">
        <v>44135</v>
      </c>
      <c r="C5832" s="4">
        <v>189</v>
      </c>
      <c r="D5832" s="29">
        <f t="shared" si="533"/>
        <v>11376</v>
      </c>
      <c r="E5832" s="4">
        <f>1</f>
        <v>1</v>
      </c>
      <c r="F5832" s="129">
        <f t="shared" si="532"/>
        <v>148</v>
      </c>
    </row>
    <row r="5833" spans="1:6" ht="15.75" thickBot="1" x14ac:dyDescent="0.3">
      <c r="A5833" s="141" t="s">
        <v>47</v>
      </c>
      <c r="B5833" s="145">
        <v>44135</v>
      </c>
      <c r="C5833" s="54">
        <v>729</v>
      </c>
      <c r="D5833" s="132">
        <f>C5833+D5809</f>
        <v>49523</v>
      </c>
      <c r="E5833" s="54">
        <f>3+3</f>
        <v>6</v>
      </c>
      <c r="F5833" s="130">
        <f t="shared" si="532"/>
        <v>772</v>
      </c>
    </row>
    <row r="5834" spans="1:6" x14ac:dyDescent="0.25">
      <c r="A5834" s="64" t="s">
        <v>22</v>
      </c>
      <c r="B5834" s="136">
        <v>44136</v>
      </c>
      <c r="C5834" s="48">
        <v>1574</v>
      </c>
      <c r="D5834" s="131">
        <f t="shared" ref="D5834:D5897" si="534">C5834+D5810</f>
        <v>550939</v>
      </c>
      <c r="E5834" s="48">
        <v>56</v>
      </c>
      <c r="F5834" s="128">
        <f t="shared" si="532"/>
        <v>17665</v>
      </c>
    </row>
    <row r="5835" spans="1:6" x14ac:dyDescent="0.25">
      <c r="A5835" s="140" t="s">
        <v>20</v>
      </c>
      <c r="B5835" s="136">
        <v>44136</v>
      </c>
      <c r="C5835" s="4">
        <v>258</v>
      </c>
      <c r="D5835" s="29">
        <f t="shared" si="534"/>
        <v>147459</v>
      </c>
      <c r="E5835" s="4">
        <v>20</v>
      </c>
      <c r="F5835" s="129">
        <f t="shared" si="532"/>
        <v>4774</v>
      </c>
    </row>
    <row r="5836" spans="1:6" x14ac:dyDescent="0.25">
      <c r="A5836" s="140" t="s">
        <v>35</v>
      </c>
      <c r="B5836" s="136">
        <v>44136</v>
      </c>
      <c r="C5836" s="4">
        <v>39</v>
      </c>
      <c r="D5836" s="29">
        <f t="shared" si="534"/>
        <v>935</v>
      </c>
      <c r="F5836" s="129">
        <f t="shared" si="532"/>
        <v>0</v>
      </c>
    </row>
    <row r="5837" spans="1:6" x14ac:dyDescent="0.25">
      <c r="A5837" s="140" t="s">
        <v>21</v>
      </c>
      <c r="B5837" s="136">
        <v>44136</v>
      </c>
      <c r="C5837" s="4">
        <v>141</v>
      </c>
      <c r="D5837" s="29">
        <f t="shared" si="534"/>
        <v>14191</v>
      </c>
      <c r="E5837" s="4">
        <v>5</v>
      </c>
      <c r="F5837" s="129">
        <f t="shared" si="532"/>
        <v>432</v>
      </c>
    </row>
    <row r="5838" spans="1:6" x14ac:dyDescent="0.25">
      <c r="A5838" s="140" t="s">
        <v>36</v>
      </c>
      <c r="B5838" s="136">
        <v>44136</v>
      </c>
      <c r="C5838" s="4">
        <v>93</v>
      </c>
      <c r="D5838" s="29">
        <f t="shared" si="534"/>
        <v>14475</v>
      </c>
      <c r="E5838" s="4">
        <v>1</v>
      </c>
      <c r="F5838" s="129">
        <f t="shared" si="532"/>
        <v>249</v>
      </c>
    </row>
    <row r="5839" spans="1:6" x14ac:dyDescent="0.25">
      <c r="A5839" s="140" t="s">
        <v>27</v>
      </c>
      <c r="B5839" s="136">
        <v>44136</v>
      </c>
      <c r="C5839" s="4">
        <v>903</v>
      </c>
      <c r="D5839" s="29">
        <f t="shared" si="534"/>
        <v>86318</v>
      </c>
      <c r="E5839" s="4">
        <v>19</v>
      </c>
      <c r="F5839" s="129">
        <f t="shared" si="532"/>
        <v>1310</v>
      </c>
    </row>
    <row r="5840" spans="1:6" x14ac:dyDescent="0.25">
      <c r="A5840" s="140" t="s">
        <v>37</v>
      </c>
      <c r="B5840" s="136">
        <v>44136</v>
      </c>
      <c r="C5840" s="4">
        <v>4</v>
      </c>
      <c r="D5840" s="29">
        <f t="shared" si="534"/>
        <v>2553</v>
      </c>
      <c r="F5840" s="129">
        <f t="shared" si="532"/>
        <v>47</v>
      </c>
    </row>
    <row r="5841" spans="1:6" x14ac:dyDescent="0.25">
      <c r="A5841" s="140" t="s">
        <v>38</v>
      </c>
      <c r="B5841" s="136">
        <v>44136</v>
      </c>
      <c r="C5841" s="4">
        <v>198</v>
      </c>
      <c r="D5841" s="29">
        <f t="shared" si="534"/>
        <v>16195</v>
      </c>
      <c r="E5841" s="4">
        <v>2</v>
      </c>
      <c r="F5841" s="129">
        <f t="shared" si="532"/>
        <v>279</v>
      </c>
    </row>
    <row r="5842" spans="1:6" x14ac:dyDescent="0.25">
      <c r="A5842" s="140" t="s">
        <v>48</v>
      </c>
      <c r="B5842" s="136">
        <v>44136</v>
      </c>
      <c r="C5842" s="4">
        <v>-2</v>
      </c>
      <c r="D5842" s="29">
        <f t="shared" si="534"/>
        <v>151</v>
      </c>
      <c r="E5842" s="4">
        <v>1</v>
      </c>
      <c r="F5842" s="129">
        <f t="shared" si="532"/>
        <v>2</v>
      </c>
    </row>
    <row r="5843" spans="1:6" x14ac:dyDescent="0.25">
      <c r="A5843" s="140" t="s">
        <v>39</v>
      </c>
      <c r="B5843" s="136">
        <v>44136</v>
      </c>
      <c r="C5843" s="4">
        <v>28</v>
      </c>
      <c r="D5843" s="29">
        <f t="shared" si="534"/>
        <v>17884</v>
      </c>
      <c r="E5843" s="4">
        <v>1</v>
      </c>
      <c r="F5843" s="129">
        <f t="shared" si="532"/>
        <v>812</v>
      </c>
    </row>
    <row r="5844" spans="1:6" x14ac:dyDescent="0.25">
      <c r="A5844" s="140" t="s">
        <v>40</v>
      </c>
      <c r="B5844" s="136">
        <v>44136</v>
      </c>
      <c r="C5844" s="4">
        <v>82</v>
      </c>
      <c r="D5844" s="29">
        <f t="shared" si="534"/>
        <v>3361</v>
      </c>
      <c r="F5844" s="129">
        <f t="shared" si="532"/>
        <v>33</v>
      </c>
    </row>
    <row r="5845" spans="1:6" x14ac:dyDescent="0.25">
      <c r="A5845" s="140" t="s">
        <v>28</v>
      </c>
      <c r="B5845" s="136">
        <v>44136</v>
      </c>
      <c r="C5845" s="4">
        <v>35</v>
      </c>
      <c r="D5845" s="29">
        <f t="shared" si="534"/>
        <v>7604</v>
      </c>
      <c r="F5845" s="129">
        <f t="shared" si="532"/>
        <v>272</v>
      </c>
    </row>
    <row r="5846" spans="1:6" x14ac:dyDescent="0.25">
      <c r="A5846" s="140" t="s">
        <v>24</v>
      </c>
      <c r="B5846" s="136">
        <v>44136</v>
      </c>
      <c r="C5846" s="4">
        <v>207</v>
      </c>
      <c r="D5846" s="29">
        <f t="shared" si="534"/>
        <v>47280</v>
      </c>
      <c r="E5846" s="4">
        <v>1</v>
      </c>
      <c r="F5846" s="129">
        <f t="shared" si="532"/>
        <v>779</v>
      </c>
    </row>
    <row r="5847" spans="1:6" x14ac:dyDescent="0.25">
      <c r="A5847" s="140" t="s">
        <v>30</v>
      </c>
      <c r="B5847" s="136">
        <v>44136</v>
      </c>
      <c r="C5847" s="4">
        <v>17</v>
      </c>
      <c r="D5847" s="29">
        <f t="shared" si="534"/>
        <v>278</v>
      </c>
      <c r="F5847" s="129">
        <f t="shared" si="532"/>
        <v>5</v>
      </c>
    </row>
    <row r="5848" spans="1:6" x14ac:dyDescent="0.25">
      <c r="A5848" s="140" t="s">
        <v>26</v>
      </c>
      <c r="B5848" s="136">
        <v>44136</v>
      </c>
      <c r="C5848" s="4">
        <v>256</v>
      </c>
      <c r="D5848" s="29">
        <f t="shared" si="534"/>
        <v>22494</v>
      </c>
      <c r="E5848" s="4">
        <v>1</v>
      </c>
      <c r="F5848" s="129">
        <f t="shared" si="532"/>
        <v>407</v>
      </c>
    </row>
    <row r="5849" spans="1:6" x14ac:dyDescent="0.25">
      <c r="A5849" s="140" t="s">
        <v>25</v>
      </c>
      <c r="B5849" s="136">
        <v>44136</v>
      </c>
      <c r="C5849" s="4">
        <v>144</v>
      </c>
      <c r="D5849" s="29">
        <f t="shared" si="534"/>
        <v>24137</v>
      </c>
      <c r="E5849" s="4">
        <v>2</v>
      </c>
      <c r="F5849" s="129">
        <f t="shared" si="532"/>
        <v>614</v>
      </c>
    </row>
    <row r="5850" spans="1:6" x14ac:dyDescent="0.25">
      <c r="A5850" s="140" t="s">
        <v>41</v>
      </c>
      <c r="B5850" s="136">
        <v>44136</v>
      </c>
      <c r="C5850" s="4">
        <v>139</v>
      </c>
      <c r="D5850" s="29">
        <f t="shared" si="534"/>
        <v>18885</v>
      </c>
      <c r="E5850" s="4">
        <v>6</v>
      </c>
      <c r="F5850" s="129">
        <f t="shared" si="532"/>
        <v>797</v>
      </c>
    </row>
    <row r="5851" spans="1:6" x14ac:dyDescent="0.25">
      <c r="A5851" s="140" t="s">
        <v>42</v>
      </c>
      <c r="B5851" s="136">
        <v>44136</v>
      </c>
      <c r="C5851" s="4">
        <v>59</v>
      </c>
      <c r="D5851" s="29">
        <f t="shared" si="534"/>
        <v>2425</v>
      </c>
      <c r="F5851" s="129">
        <f t="shared" si="532"/>
        <v>101</v>
      </c>
    </row>
    <row r="5852" spans="1:6" x14ac:dyDescent="0.25">
      <c r="A5852" s="140" t="s">
        <v>43</v>
      </c>
      <c r="B5852" s="136">
        <v>44136</v>
      </c>
      <c r="C5852" s="4">
        <v>248</v>
      </c>
      <c r="D5852" s="29">
        <f t="shared" si="534"/>
        <v>7229</v>
      </c>
      <c r="F5852" s="129">
        <f t="shared" si="532"/>
        <v>54</v>
      </c>
    </row>
    <row r="5853" spans="1:6" x14ac:dyDescent="0.25">
      <c r="A5853" s="140" t="s">
        <v>44</v>
      </c>
      <c r="B5853" s="136">
        <v>44136</v>
      </c>
      <c r="C5853" s="4">
        <v>176</v>
      </c>
      <c r="D5853" s="29">
        <f t="shared" si="534"/>
        <v>9684</v>
      </c>
      <c r="E5853" s="4">
        <v>2</v>
      </c>
      <c r="F5853" s="129">
        <f t="shared" si="532"/>
        <v>135</v>
      </c>
    </row>
    <row r="5854" spans="1:6" x14ac:dyDescent="0.25">
      <c r="A5854" s="140" t="s">
        <v>29</v>
      </c>
      <c r="B5854" s="136">
        <v>44136</v>
      </c>
      <c r="C5854" s="4">
        <v>1170</v>
      </c>
      <c r="D5854" s="29">
        <f t="shared" si="534"/>
        <v>107518</v>
      </c>
      <c r="E5854" s="4">
        <v>17</v>
      </c>
      <c r="F5854" s="129">
        <f t="shared" si="532"/>
        <v>1314</v>
      </c>
    </row>
    <row r="5855" spans="1:6" x14ac:dyDescent="0.25">
      <c r="A5855" s="140" t="s">
        <v>45</v>
      </c>
      <c r="B5855" s="136">
        <v>44136</v>
      </c>
      <c r="C5855" s="4">
        <v>182</v>
      </c>
      <c r="D5855" s="29">
        <f t="shared" si="534"/>
        <v>9981</v>
      </c>
      <c r="E5855" s="4">
        <v>1</v>
      </c>
      <c r="F5855" s="129">
        <f t="shared" si="532"/>
        <v>133</v>
      </c>
    </row>
    <row r="5856" spans="1:6" x14ac:dyDescent="0.25">
      <c r="A5856" s="140" t="s">
        <v>46</v>
      </c>
      <c r="B5856" s="136">
        <v>44136</v>
      </c>
      <c r="C5856" s="4">
        <v>205</v>
      </c>
      <c r="D5856" s="29">
        <f t="shared" si="534"/>
        <v>11581</v>
      </c>
      <c r="E5856" s="4">
        <v>2</v>
      </c>
      <c r="F5856" s="129">
        <f t="shared" si="532"/>
        <v>150</v>
      </c>
    </row>
    <row r="5857" spans="1:6" ht="15.75" thickBot="1" x14ac:dyDescent="0.3">
      <c r="A5857" s="141" t="s">
        <v>47</v>
      </c>
      <c r="B5857" s="136">
        <v>44136</v>
      </c>
      <c r="C5857" s="4">
        <v>453</v>
      </c>
      <c r="D5857" s="132">
        <f>C5857+D5833</f>
        <v>49976</v>
      </c>
      <c r="F5857" s="130">
        <f t="shared" si="532"/>
        <v>772</v>
      </c>
    </row>
    <row r="5858" spans="1:6" x14ac:dyDescent="0.25">
      <c r="A5858" s="64" t="s">
        <v>22</v>
      </c>
      <c r="B5858" s="136">
        <v>44137</v>
      </c>
      <c r="C5858" s="4">
        <v>3022</v>
      </c>
      <c r="D5858" s="131">
        <f t="shared" si="534"/>
        <v>553961</v>
      </c>
      <c r="E5858" s="4">
        <v>205</v>
      </c>
      <c r="F5858" s="128">
        <f t="shared" si="532"/>
        <v>17870</v>
      </c>
    </row>
    <row r="5859" spans="1:6" x14ac:dyDescent="0.25">
      <c r="A5859" s="140" t="s">
        <v>20</v>
      </c>
      <c r="B5859" s="136">
        <v>44137</v>
      </c>
      <c r="C5859" s="4">
        <v>425</v>
      </c>
      <c r="D5859" s="29">
        <f t="shared" si="534"/>
        <v>147884</v>
      </c>
      <c r="E5859" s="4">
        <v>35</v>
      </c>
      <c r="F5859" s="129">
        <f t="shared" si="532"/>
        <v>4809</v>
      </c>
    </row>
    <row r="5860" spans="1:6" x14ac:dyDescent="0.25">
      <c r="A5860" s="140" t="s">
        <v>35</v>
      </c>
      <c r="B5860" s="136">
        <v>44137</v>
      </c>
      <c r="C5860" s="4">
        <v>45</v>
      </c>
      <c r="D5860" s="29">
        <f t="shared" si="534"/>
        <v>980</v>
      </c>
      <c r="F5860" s="129">
        <f t="shared" si="532"/>
        <v>0</v>
      </c>
    </row>
    <row r="5861" spans="1:6" x14ac:dyDescent="0.25">
      <c r="A5861" s="140" t="s">
        <v>21</v>
      </c>
      <c r="B5861" s="136">
        <v>44137</v>
      </c>
      <c r="C5861" s="4">
        <v>73</v>
      </c>
      <c r="D5861" s="29">
        <f t="shared" si="534"/>
        <v>14264</v>
      </c>
      <c r="E5861" s="4">
        <v>2</v>
      </c>
      <c r="F5861" s="129">
        <f t="shared" si="532"/>
        <v>434</v>
      </c>
    </row>
    <row r="5862" spans="1:6" x14ac:dyDescent="0.25">
      <c r="A5862" s="140" t="s">
        <v>36</v>
      </c>
      <c r="B5862" s="136">
        <v>44137</v>
      </c>
      <c r="C5862" s="4">
        <v>316</v>
      </c>
      <c r="D5862" s="29">
        <f t="shared" si="534"/>
        <v>14791</v>
      </c>
      <c r="E5862" s="4">
        <v>5</v>
      </c>
      <c r="F5862" s="129">
        <f t="shared" si="532"/>
        <v>254</v>
      </c>
    </row>
    <row r="5863" spans="1:6" x14ac:dyDescent="0.25">
      <c r="A5863" s="140" t="s">
        <v>27</v>
      </c>
      <c r="B5863" s="136">
        <v>44137</v>
      </c>
      <c r="C5863" s="4">
        <v>633</v>
      </c>
      <c r="D5863" s="29">
        <f t="shared" si="534"/>
        <v>86951</v>
      </c>
      <c r="E5863" s="4">
        <v>27</v>
      </c>
      <c r="F5863" s="129">
        <f t="shared" si="532"/>
        <v>1337</v>
      </c>
    </row>
    <row r="5864" spans="1:6" x14ac:dyDescent="0.25">
      <c r="A5864" s="140" t="s">
        <v>37</v>
      </c>
      <c r="B5864" s="136">
        <v>44137</v>
      </c>
      <c r="C5864" s="4">
        <v>40</v>
      </c>
      <c r="D5864" s="29">
        <f t="shared" si="534"/>
        <v>2593</v>
      </c>
      <c r="F5864" s="129">
        <f t="shared" si="532"/>
        <v>47</v>
      </c>
    </row>
    <row r="5865" spans="1:6" x14ac:dyDescent="0.25">
      <c r="A5865" s="140" t="s">
        <v>38</v>
      </c>
      <c r="B5865" s="136">
        <v>44137</v>
      </c>
      <c r="C5865" s="4">
        <v>231</v>
      </c>
      <c r="D5865" s="29">
        <f t="shared" si="534"/>
        <v>16426</v>
      </c>
      <c r="E5865" s="4">
        <v>9</v>
      </c>
      <c r="F5865" s="129">
        <f t="shared" si="532"/>
        <v>288</v>
      </c>
    </row>
    <row r="5866" spans="1:6" x14ac:dyDescent="0.25">
      <c r="A5866" s="140" t="s">
        <v>48</v>
      </c>
      <c r="B5866" s="136">
        <v>44137</v>
      </c>
      <c r="C5866" s="4">
        <v>7</v>
      </c>
      <c r="D5866" s="29">
        <f t="shared" si="534"/>
        <v>158</v>
      </c>
      <c r="F5866" s="129">
        <f t="shared" ref="F5866:F5930" si="535">E5866+F5842</f>
        <v>2</v>
      </c>
    </row>
    <row r="5867" spans="1:6" x14ac:dyDescent="0.25">
      <c r="A5867" s="140" t="s">
        <v>39</v>
      </c>
      <c r="B5867" s="136">
        <v>44137</v>
      </c>
      <c r="C5867" s="4">
        <v>34</v>
      </c>
      <c r="D5867" s="29">
        <f t="shared" si="534"/>
        <v>17918</v>
      </c>
      <c r="E5867" s="4">
        <v>3</v>
      </c>
      <c r="F5867" s="129">
        <f t="shared" si="535"/>
        <v>815</v>
      </c>
    </row>
    <row r="5868" spans="1:6" x14ac:dyDescent="0.25">
      <c r="A5868" s="140" t="s">
        <v>40</v>
      </c>
      <c r="B5868" s="136">
        <v>44137</v>
      </c>
      <c r="C5868" s="4">
        <v>119</v>
      </c>
      <c r="D5868" s="29">
        <f t="shared" si="534"/>
        <v>3480</v>
      </c>
      <c r="E5868" s="4">
        <v>3</v>
      </c>
      <c r="F5868" s="129">
        <f t="shared" si="535"/>
        <v>36</v>
      </c>
    </row>
    <row r="5869" spans="1:6" x14ac:dyDescent="0.25">
      <c r="A5869" s="140" t="s">
        <v>28</v>
      </c>
      <c r="B5869" s="136">
        <v>44137</v>
      </c>
      <c r="C5869" s="4">
        <v>36</v>
      </c>
      <c r="D5869" s="29">
        <f t="shared" si="534"/>
        <v>7640</v>
      </c>
      <c r="E5869" s="4">
        <v>2</v>
      </c>
      <c r="F5869" s="129">
        <f t="shared" si="535"/>
        <v>274</v>
      </c>
    </row>
    <row r="5870" spans="1:6" x14ac:dyDescent="0.25">
      <c r="A5870" s="140" t="s">
        <v>24</v>
      </c>
      <c r="B5870" s="136">
        <v>44137</v>
      </c>
      <c r="C5870" s="4">
        <v>513</v>
      </c>
      <c r="D5870" s="29">
        <f t="shared" si="534"/>
        <v>47793</v>
      </c>
      <c r="E5870" s="4">
        <v>19</v>
      </c>
      <c r="F5870" s="129">
        <f t="shared" si="535"/>
        <v>798</v>
      </c>
    </row>
    <row r="5871" spans="1:6" x14ac:dyDescent="0.25">
      <c r="A5871" s="140" t="s">
        <v>30</v>
      </c>
      <c r="B5871" s="136">
        <v>44137</v>
      </c>
      <c r="C5871" s="4">
        <v>4</v>
      </c>
      <c r="D5871" s="29">
        <f t="shared" si="534"/>
        <v>282</v>
      </c>
      <c r="F5871" s="129">
        <f t="shared" si="535"/>
        <v>5</v>
      </c>
    </row>
    <row r="5872" spans="1:6" x14ac:dyDescent="0.25">
      <c r="A5872" s="140" t="s">
        <v>26</v>
      </c>
      <c r="B5872" s="136">
        <v>44137</v>
      </c>
      <c r="C5872" s="4">
        <v>250</v>
      </c>
      <c r="D5872" s="29">
        <f t="shared" si="534"/>
        <v>22744</v>
      </c>
      <c r="E5872" s="4">
        <v>2</v>
      </c>
      <c r="F5872" s="129">
        <f t="shared" si="535"/>
        <v>409</v>
      </c>
    </row>
    <row r="5873" spans="1:6" x14ac:dyDescent="0.25">
      <c r="A5873" s="140" t="s">
        <v>25</v>
      </c>
      <c r="B5873" s="136">
        <v>44137</v>
      </c>
      <c r="C5873" s="4">
        <v>275</v>
      </c>
      <c r="D5873" s="29">
        <f t="shared" si="534"/>
        <v>24412</v>
      </c>
      <c r="E5873" s="4">
        <v>17</v>
      </c>
      <c r="F5873" s="129">
        <f t="shared" si="535"/>
        <v>631</v>
      </c>
    </row>
    <row r="5874" spans="1:6" x14ac:dyDescent="0.25">
      <c r="A5874" s="140" t="s">
        <v>41</v>
      </c>
      <c r="B5874" s="136">
        <v>44137</v>
      </c>
      <c r="C5874" s="4">
        <v>64</v>
      </c>
      <c r="D5874" s="29">
        <f t="shared" si="534"/>
        <v>18949</v>
      </c>
      <c r="E5874" s="4">
        <v>7</v>
      </c>
      <c r="F5874" s="129">
        <f t="shared" si="535"/>
        <v>804</v>
      </c>
    </row>
    <row r="5875" spans="1:6" x14ac:dyDescent="0.25">
      <c r="A5875" s="140" t="s">
        <v>42</v>
      </c>
      <c r="B5875" s="136">
        <v>44137</v>
      </c>
      <c r="C5875" s="4">
        <v>304</v>
      </c>
      <c r="D5875" s="29">
        <f t="shared" si="534"/>
        <v>2729</v>
      </c>
      <c r="F5875" s="129">
        <f t="shared" si="535"/>
        <v>101</v>
      </c>
    </row>
    <row r="5876" spans="1:6" x14ac:dyDescent="0.25">
      <c r="A5876" s="140" t="s">
        <v>43</v>
      </c>
      <c r="B5876" s="136">
        <v>44137</v>
      </c>
      <c r="C5876" s="4">
        <v>380</v>
      </c>
      <c r="D5876" s="29">
        <f t="shared" si="534"/>
        <v>7609</v>
      </c>
      <c r="E5876" s="4">
        <v>17</v>
      </c>
      <c r="F5876" s="129">
        <f t="shared" si="535"/>
        <v>71</v>
      </c>
    </row>
    <row r="5877" spans="1:6" x14ac:dyDescent="0.25">
      <c r="A5877" s="140" t="s">
        <v>44</v>
      </c>
      <c r="B5877" s="136">
        <v>44137</v>
      </c>
      <c r="C5877" s="4">
        <v>131</v>
      </c>
      <c r="D5877" s="29">
        <f t="shared" si="534"/>
        <v>9815</v>
      </c>
      <c r="E5877" s="4">
        <v>6</v>
      </c>
      <c r="F5877" s="129">
        <f t="shared" si="535"/>
        <v>141</v>
      </c>
    </row>
    <row r="5878" spans="1:6" x14ac:dyDescent="0.25">
      <c r="A5878" s="140" t="s">
        <v>29</v>
      </c>
      <c r="B5878" s="136">
        <v>44137</v>
      </c>
      <c r="C5878" s="4">
        <v>1793</v>
      </c>
      <c r="D5878" s="29">
        <f t="shared" si="534"/>
        <v>109311</v>
      </c>
      <c r="E5878" s="4">
        <v>75</v>
      </c>
      <c r="F5878" s="129">
        <f t="shared" si="535"/>
        <v>1389</v>
      </c>
    </row>
    <row r="5879" spans="1:6" x14ac:dyDescent="0.25">
      <c r="A5879" s="140" t="s">
        <v>45</v>
      </c>
      <c r="B5879" s="136">
        <v>44137</v>
      </c>
      <c r="C5879" s="4">
        <v>111</v>
      </c>
      <c r="D5879" s="29">
        <f t="shared" si="534"/>
        <v>10092</v>
      </c>
      <c r="E5879" s="4">
        <v>1</v>
      </c>
      <c r="F5879" s="129">
        <f t="shared" si="535"/>
        <v>134</v>
      </c>
    </row>
    <row r="5880" spans="1:6" x14ac:dyDescent="0.25">
      <c r="A5880" s="140" t="s">
        <v>46</v>
      </c>
      <c r="B5880" s="136">
        <v>44137</v>
      </c>
      <c r="C5880" s="4">
        <v>127</v>
      </c>
      <c r="D5880" s="29">
        <f t="shared" si="534"/>
        <v>11708</v>
      </c>
      <c r="E5880" s="4">
        <v>7</v>
      </c>
      <c r="F5880" s="129">
        <f t="shared" si="535"/>
        <v>157</v>
      </c>
    </row>
    <row r="5881" spans="1:6" ht="15.75" thickBot="1" x14ac:dyDescent="0.3">
      <c r="A5881" s="141" t="s">
        <v>47</v>
      </c>
      <c r="B5881" s="136">
        <v>44137</v>
      </c>
      <c r="C5881" s="4">
        <v>666</v>
      </c>
      <c r="D5881" s="132">
        <f>C5881+D5857</f>
        <v>50642</v>
      </c>
      <c r="E5881" s="4">
        <v>41</v>
      </c>
      <c r="F5881" s="130">
        <f t="shared" si="535"/>
        <v>813</v>
      </c>
    </row>
    <row r="5882" spans="1:6" x14ac:dyDescent="0.25">
      <c r="A5882" s="64" t="s">
        <v>22</v>
      </c>
      <c r="B5882" s="136">
        <v>44138</v>
      </c>
      <c r="C5882" s="4">
        <v>3615</v>
      </c>
      <c r="D5882" s="131">
        <f t="shared" si="534"/>
        <v>557576</v>
      </c>
      <c r="E5882" s="4">
        <v>188</v>
      </c>
      <c r="F5882" s="128">
        <f t="shared" si="535"/>
        <v>18058</v>
      </c>
    </row>
    <row r="5883" spans="1:6" x14ac:dyDescent="0.25">
      <c r="A5883" s="140" t="s">
        <v>20</v>
      </c>
      <c r="B5883" s="136">
        <v>44138</v>
      </c>
      <c r="C5883" s="4">
        <v>460</v>
      </c>
      <c r="D5883" s="29">
        <f t="shared" si="534"/>
        <v>148344</v>
      </c>
      <c r="E5883" s="4">
        <v>25</v>
      </c>
      <c r="F5883" s="129">
        <f t="shared" si="535"/>
        <v>4834</v>
      </c>
    </row>
    <row r="5884" spans="1:6" x14ac:dyDescent="0.25">
      <c r="A5884" s="140" t="s">
        <v>35</v>
      </c>
      <c r="B5884" s="136">
        <v>44138</v>
      </c>
      <c r="C5884" s="4">
        <v>31</v>
      </c>
      <c r="D5884" s="29">
        <f t="shared" si="534"/>
        <v>1011</v>
      </c>
      <c r="F5884" s="129">
        <f t="shared" si="535"/>
        <v>0</v>
      </c>
    </row>
    <row r="5885" spans="1:6" x14ac:dyDescent="0.25">
      <c r="A5885" s="140" t="s">
        <v>21</v>
      </c>
      <c r="B5885" s="136">
        <v>44138</v>
      </c>
      <c r="C5885" s="4">
        <v>131</v>
      </c>
      <c r="D5885" s="29">
        <f t="shared" si="534"/>
        <v>14395</v>
      </c>
      <c r="E5885" s="4">
        <v>7</v>
      </c>
      <c r="F5885" s="129">
        <f t="shared" si="535"/>
        <v>441</v>
      </c>
    </row>
    <row r="5886" spans="1:6" x14ac:dyDescent="0.25">
      <c r="A5886" s="140" t="s">
        <v>36</v>
      </c>
      <c r="B5886" s="136">
        <v>44138</v>
      </c>
      <c r="C5886" s="4">
        <v>421</v>
      </c>
      <c r="D5886" s="29">
        <f t="shared" si="534"/>
        <v>15212</v>
      </c>
      <c r="F5886" s="129">
        <f t="shared" si="535"/>
        <v>254</v>
      </c>
    </row>
    <row r="5887" spans="1:6" x14ac:dyDescent="0.25">
      <c r="A5887" s="140" t="s">
        <v>27</v>
      </c>
      <c r="B5887" s="136">
        <v>44138</v>
      </c>
      <c r="C5887" s="4">
        <v>1339</v>
      </c>
      <c r="D5887" s="29">
        <f t="shared" si="534"/>
        <v>88290</v>
      </c>
      <c r="E5887" s="4">
        <v>22</v>
      </c>
      <c r="F5887" s="129">
        <f t="shared" si="535"/>
        <v>1359</v>
      </c>
    </row>
    <row r="5888" spans="1:6" x14ac:dyDescent="0.25">
      <c r="A5888" s="140" t="s">
        <v>37</v>
      </c>
      <c r="B5888" s="136">
        <v>44138</v>
      </c>
      <c r="C5888" s="4">
        <v>26</v>
      </c>
      <c r="D5888" s="29">
        <f t="shared" si="534"/>
        <v>2619</v>
      </c>
      <c r="F5888" s="129">
        <f t="shared" si="535"/>
        <v>47</v>
      </c>
    </row>
    <row r="5889" spans="1:6" x14ac:dyDescent="0.25">
      <c r="A5889" s="140" t="s">
        <v>38</v>
      </c>
      <c r="B5889" s="136">
        <v>44138</v>
      </c>
      <c r="C5889" s="4">
        <v>258</v>
      </c>
      <c r="D5889" s="29">
        <f t="shared" si="534"/>
        <v>16684</v>
      </c>
      <c r="E5889" s="4">
        <v>7</v>
      </c>
      <c r="F5889" s="129">
        <f t="shared" si="535"/>
        <v>295</v>
      </c>
    </row>
    <row r="5890" spans="1:6" x14ac:dyDescent="0.25">
      <c r="A5890" s="140" t="s">
        <v>48</v>
      </c>
      <c r="B5890" s="136">
        <v>44138</v>
      </c>
      <c r="C5890" s="4">
        <v>0</v>
      </c>
      <c r="D5890" s="29">
        <f t="shared" si="534"/>
        <v>158</v>
      </c>
      <c r="F5890" s="129">
        <f t="shared" si="535"/>
        <v>2</v>
      </c>
    </row>
    <row r="5891" spans="1:6" x14ac:dyDescent="0.25">
      <c r="A5891" s="140" t="s">
        <v>39</v>
      </c>
      <c r="B5891" s="136">
        <v>44138</v>
      </c>
      <c r="C5891" s="4">
        <v>22</v>
      </c>
      <c r="D5891" s="29">
        <f t="shared" si="534"/>
        <v>17940</v>
      </c>
      <c r="E5891" s="4">
        <v>2</v>
      </c>
      <c r="F5891" s="129">
        <f t="shared" si="535"/>
        <v>817</v>
      </c>
    </row>
    <row r="5892" spans="1:6" x14ac:dyDescent="0.25">
      <c r="A5892" s="140" t="s">
        <v>40</v>
      </c>
      <c r="B5892" s="136">
        <v>44138</v>
      </c>
      <c r="C5892" s="4">
        <v>84</v>
      </c>
      <c r="D5892" s="29">
        <f t="shared" si="534"/>
        <v>3564</v>
      </c>
      <c r="F5892" s="129">
        <f t="shared" si="535"/>
        <v>36</v>
      </c>
    </row>
    <row r="5893" spans="1:6" x14ac:dyDescent="0.25">
      <c r="A5893" s="140" t="s">
        <v>28</v>
      </c>
      <c r="B5893" s="136">
        <v>44138</v>
      </c>
      <c r="C5893" s="4">
        <v>42</v>
      </c>
      <c r="D5893" s="29">
        <f t="shared" si="534"/>
        <v>7682</v>
      </c>
      <c r="E5893" s="4">
        <v>9</v>
      </c>
      <c r="F5893" s="129">
        <f t="shared" si="535"/>
        <v>283</v>
      </c>
    </row>
    <row r="5894" spans="1:6" x14ac:dyDescent="0.25">
      <c r="A5894" s="140" t="s">
        <v>24</v>
      </c>
      <c r="B5894" s="136">
        <v>44138</v>
      </c>
      <c r="C5894" s="4">
        <v>515</v>
      </c>
      <c r="D5894" s="29">
        <f t="shared" si="534"/>
        <v>48308</v>
      </c>
      <c r="E5894" s="4">
        <v>15</v>
      </c>
      <c r="F5894" s="129">
        <f t="shared" si="535"/>
        <v>813</v>
      </c>
    </row>
    <row r="5895" spans="1:6" x14ac:dyDescent="0.25">
      <c r="A5895" s="140" t="s">
        <v>30</v>
      </c>
      <c r="B5895" s="136">
        <v>44138</v>
      </c>
      <c r="C5895" s="4">
        <v>16</v>
      </c>
      <c r="D5895" s="29">
        <f t="shared" si="534"/>
        <v>298</v>
      </c>
      <c r="E5895" s="4">
        <v>1</v>
      </c>
      <c r="F5895" s="129">
        <f t="shared" si="535"/>
        <v>6</v>
      </c>
    </row>
    <row r="5896" spans="1:6" x14ac:dyDescent="0.25">
      <c r="A5896" s="140" t="s">
        <v>26</v>
      </c>
      <c r="B5896" s="136">
        <v>44138</v>
      </c>
      <c r="C5896" s="4">
        <v>934</v>
      </c>
      <c r="D5896" s="29">
        <f t="shared" si="534"/>
        <v>23678</v>
      </c>
      <c r="E5896" s="4">
        <v>5</v>
      </c>
      <c r="F5896" s="129">
        <f t="shared" si="535"/>
        <v>414</v>
      </c>
    </row>
    <row r="5897" spans="1:6" x14ac:dyDescent="0.25">
      <c r="A5897" s="140" t="s">
        <v>25</v>
      </c>
      <c r="B5897" s="136">
        <v>44138</v>
      </c>
      <c r="C5897" s="4">
        <v>395</v>
      </c>
      <c r="D5897" s="29">
        <f t="shared" si="534"/>
        <v>24807</v>
      </c>
      <c r="E5897" s="4">
        <v>3</v>
      </c>
      <c r="F5897" s="129">
        <f t="shared" si="535"/>
        <v>634</v>
      </c>
    </row>
    <row r="5898" spans="1:6" x14ac:dyDescent="0.25">
      <c r="A5898" s="140" t="s">
        <v>41</v>
      </c>
      <c r="B5898" s="136">
        <v>44138</v>
      </c>
      <c r="C5898" s="4">
        <v>110</v>
      </c>
      <c r="D5898" s="29">
        <f t="shared" ref="D5898:D5904" si="536">C5898+D5874</f>
        <v>19059</v>
      </c>
      <c r="E5898" s="4">
        <v>8</v>
      </c>
      <c r="F5898" s="129">
        <f t="shared" si="535"/>
        <v>812</v>
      </c>
    </row>
    <row r="5899" spans="1:6" x14ac:dyDescent="0.25">
      <c r="A5899" s="140" t="s">
        <v>42</v>
      </c>
      <c r="B5899" s="136">
        <v>44138</v>
      </c>
      <c r="C5899" s="4">
        <v>164</v>
      </c>
      <c r="D5899" s="29">
        <f t="shared" si="536"/>
        <v>2893</v>
      </c>
      <c r="E5899" s="4">
        <v>1</v>
      </c>
      <c r="F5899" s="129">
        <f t="shared" si="535"/>
        <v>102</v>
      </c>
    </row>
    <row r="5900" spans="1:6" x14ac:dyDescent="0.25">
      <c r="A5900" s="140" t="s">
        <v>43</v>
      </c>
      <c r="B5900" s="136">
        <v>44138</v>
      </c>
      <c r="C5900" s="4">
        <v>247</v>
      </c>
      <c r="D5900" s="29">
        <f t="shared" si="536"/>
        <v>7856</v>
      </c>
      <c r="E5900" s="4">
        <v>21</v>
      </c>
      <c r="F5900" s="129">
        <f t="shared" si="535"/>
        <v>92</v>
      </c>
    </row>
    <row r="5901" spans="1:6" x14ac:dyDescent="0.25">
      <c r="A5901" s="140" t="s">
        <v>44</v>
      </c>
      <c r="B5901" s="136">
        <v>44138</v>
      </c>
      <c r="C5901" s="4">
        <v>250</v>
      </c>
      <c r="D5901" s="29">
        <f t="shared" si="536"/>
        <v>10065</v>
      </c>
      <c r="E5901" s="4">
        <v>6</v>
      </c>
      <c r="F5901" s="129">
        <f t="shared" si="535"/>
        <v>147</v>
      </c>
    </row>
    <row r="5902" spans="1:6" x14ac:dyDescent="0.25">
      <c r="A5902" s="140" t="s">
        <v>29</v>
      </c>
      <c r="B5902" s="136">
        <v>44138</v>
      </c>
      <c r="C5902" s="4">
        <v>1764</v>
      </c>
      <c r="D5902" s="29">
        <f t="shared" si="536"/>
        <v>111075</v>
      </c>
      <c r="E5902" s="4">
        <v>85</v>
      </c>
      <c r="F5902" s="129">
        <f t="shared" si="535"/>
        <v>1474</v>
      </c>
    </row>
    <row r="5903" spans="1:6" x14ac:dyDescent="0.25">
      <c r="A5903" s="140" t="s">
        <v>45</v>
      </c>
      <c r="B5903" s="136">
        <v>44138</v>
      </c>
      <c r="C5903" s="4">
        <v>82</v>
      </c>
      <c r="D5903" s="29">
        <f t="shared" si="536"/>
        <v>10174</v>
      </c>
      <c r="E5903" s="4">
        <v>1</v>
      </c>
      <c r="F5903" s="129">
        <f t="shared" si="535"/>
        <v>135</v>
      </c>
    </row>
    <row r="5904" spans="1:6" x14ac:dyDescent="0.25">
      <c r="A5904" s="140" t="s">
        <v>46</v>
      </c>
      <c r="B5904" s="136">
        <v>44138</v>
      </c>
      <c r="C5904" s="4">
        <v>266</v>
      </c>
      <c r="D5904" s="29">
        <f t="shared" si="536"/>
        <v>11974</v>
      </c>
      <c r="E5904" s="4">
        <v>2</v>
      </c>
      <c r="F5904" s="129">
        <f t="shared" si="535"/>
        <v>159</v>
      </c>
    </row>
    <row r="5905" spans="1:6" ht="15.75" thickBot="1" x14ac:dyDescent="0.3">
      <c r="A5905" s="142" t="s">
        <v>47</v>
      </c>
      <c r="B5905" s="138">
        <v>44138</v>
      </c>
      <c r="C5905" s="47">
        <v>973</v>
      </c>
      <c r="D5905" s="85">
        <f>C5905+D5881</f>
        <v>51615</v>
      </c>
      <c r="E5905" s="47">
        <v>21</v>
      </c>
      <c r="F5905" s="139">
        <f t="shared" si="535"/>
        <v>834</v>
      </c>
    </row>
    <row r="5906" spans="1:6" x14ac:dyDescent="0.25">
      <c r="A5906" s="64" t="s">
        <v>22</v>
      </c>
      <c r="B5906" s="49">
        <v>44139</v>
      </c>
      <c r="C5906" s="25">
        <v>3123</v>
      </c>
      <c r="D5906" s="131">
        <f t="shared" ref="D5906:D5969" si="537">C5906+D5882</f>
        <v>560699</v>
      </c>
      <c r="E5906" s="25">
        <v>228</v>
      </c>
      <c r="F5906" s="128">
        <f t="shared" si="535"/>
        <v>18286</v>
      </c>
    </row>
    <row r="5907" spans="1:6" x14ac:dyDescent="0.25">
      <c r="A5907" s="140" t="s">
        <v>20</v>
      </c>
      <c r="B5907" s="136">
        <v>44139</v>
      </c>
      <c r="C5907" s="25">
        <v>476</v>
      </c>
      <c r="D5907" s="29">
        <f t="shared" si="537"/>
        <v>148820</v>
      </c>
      <c r="E5907" s="25">
        <v>20</v>
      </c>
      <c r="F5907" s="129">
        <f t="shared" si="535"/>
        <v>4854</v>
      </c>
    </row>
    <row r="5908" spans="1:6" x14ac:dyDescent="0.25">
      <c r="A5908" s="140" t="s">
        <v>35</v>
      </c>
      <c r="B5908" s="136">
        <v>44139</v>
      </c>
      <c r="C5908" s="25">
        <v>62</v>
      </c>
      <c r="D5908" s="29">
        <f t="shared" si="537"/>
        <v>1073</v>
      </c>
      <c r="E5908" s="25"/>
      <c r="F5908" s="129">
        <f t="shared" si="535"/>
        <v>0</v>
      </c>
    </row>
    <row r="5909" spans="1:6" x14ac:dyDescent="0.25">
      <c r="A5909" s="140" t="s">
        <v>21</v>
      </c>
      <c r="B5909" s="136">
        <v>44139</v>
      </c>
      <c r="C5909" s="25">
        <v>98</v>
      </c>
      <c r="D5909" s="29">
        <f t="shared" si="537"/>
        <v>14493</v>
      </c>
      <c r="E5909" s="25">
        <v>7</v>
      </c>
      <c r="F5909" s="129">
        <f t="shared" si="535"/>
        <v>448</v>
      </c>
    </row>
    <row r="5910" spans="1:6" x14ac:dyDescent="0.25">
      <c r="A5910" s="140" t="s">
        <v>36</v>
      </c>
      <c r="B5910" s="136">
        <v>44139</v>
      </c>
      <c r="C5910" s="25">
        <v>500</v>
      </c>
      <c r="D5910" s="29">
        <f t="shared" si="537"/>
        <v>15712</v>
      </c>
      <c r="E5910" s="25">
        <v>6</v>
      </c>
      <c r="F5910" s="129">
        <f t="shared" si="535"/>
        <v>260</v>
      </c>
    </row>
    <row r="5911" spans="1:6" x14ac:dyDescent="0.25">
      <c r="A5911" s="140" t="s">
        <v>27</v>
      </c>
      <c r="B5911" s="136">
        <v>44139</v>
      </c>
      <c r="C5911" s="25">
        <v>1196</v>
      </c>
      <c r="D5911" s="29">
        <f t="shared" si="537"/>
        <v>89486</v>
      </c>
      <c r="E5911" s="25">
        <v>37</v>
      </c>
      <c r="F5911" s="129">
        <f t="shared" si="535"/>
        <v>1396</v>
      </c>
    </row>
    <row r="5912" spans="1:6" x14ac:dyDescent="0.25">
      <c r="A5912" s="140" t="s">
        <v>37</v>
      </c>
      <c r="B5912" s="136">
        <v>44139</v>
      </c>
      <c r="C5912" s="25">
        <v>14</v>
      </c>
      <c r="D5912" s="29">
        <f t="shared" si="537"/>
        <v>2633</v>
      </c>
      <c r="E5912" s="25">
        <v>2</v>
      </c>
      <c r="F5912" s="129">
        <f t="shared" si="535"/>
        <v>49</v>
      </c>
    </row>
    <row r="5913" spans="1:6" x14ac:dyDescent="0.25">
      <c r="A5913" s="140" t="s">
        <v>38</v>
      </c>
      <c r="B5913" s="136">
        <v>44139</v>
      </c>
      <c r="C5913" s="25">
        <v>325</v>
      </c>
      <c r="D5913" s="29">
        <f t="shared" si="537"/>
        <v>17009</v>
      </c>
      <c r="E5913" s="25">
        <v>7</v>
      </c>
      <c r="F5913" s="129">
        <f t="shared" si="535"/>
        <v>302</v>
      </c>
    </row>
    <row r="5914" spans="1:6" x14ac:dyDescent="0.25">
      <c r="A5914" s="140" t="s">
        <v>48</v>
      </c>
      <c r="B5914" s="136">
        <v>44139</v>
      </c>
      <c r="C5914" s="25">
        <v>5</v>
      </c>
      <c r="D5914" s="29">
        <f t="shared" si="537"/>
        <v>163</v>
      </c>
      <c r="E5914" s="25">
        <v>1</v>
      </c>
      <c r="F5914" s="129">
        <f t="shared" si="535"/>
        <v>3</v>
      </c>
    </row>
    <row r="5915" spans="1:6" x14ac:dyDescent="0.25">
      <c r="A5915" s="140" t="s">
        <v>39</v>
      </c>
      <c r="B5915" s="136">
        <v>44139</v>
      </c>
      <c r="C5915" s="25">
        <v>22</v>
      </c>
      <c r="D5915" s="29">
        <f t="shared" si="537"/>
        <v>17962</v>
      </c>
      <c r="E5915" s="25"/>
      <c r="F5915" s="129">
        <f t="shared" si="535"/>
        <v>817</v>
      </c>
    </row>
    <row r="5916" spans="1:6" x14ac:dyDescent="0.25">
      <c r="A5916" s="140" t="s">
        <v>40</v>
      </c>
      <c r="B5916" s="136">
        <v>44139</v>
      </c>
      <c r="C5916" s="25">
        <v>137</v>
      </c>
      <c r="D5916" s="29">
        <f t="shared" si="537"/>
        <v>3701</v>
      </c>
      <c r="E5916" s="25"/>
      <c r="F5916" s="129">
        <f t="shared" si="535"/>
        <v>36</v>
      </c>
    </row>
    <row r="5917" spans="1:6" x14ac:dyDescent="0.25">
      <c r="A5917" s="140" t="s">
        <v>28</v>
      </c>
      <c r="B5917" s="136">
        <v>44139</v>
      </c>
      <c r="C5917" s="25">
        <v>61</v>
      </c>
      <c r="D5917" s="29">
        <f t="shared" si="537"/>
        <v>7743</v>
      </c>
      <c r="E5917" s="25"/>
      <c r="F5917" s="129">
        <f t="shared" si="535"/>
        <v>283</v>
      </c>
    </row>
    <row r="5918" spans="1:6" x14ac:dyDescent="0.25">
      <c r="A5918" s="140" t="s">
        <v>24</v>
      </c>
      <c r="B5918" s="136">
        <v>44139</v>
      </c>
      <c r="C5918" s="25">
        <v>518</v>
      </c>
      <c r="D5918" s="29">
        <f t="shared" si="537"/>
        <v>48826</v>
      </c>
      <c r="E5918" s="25">
        <v>41</v>
      </c>
      <c r="F5918" s="129">
        <f t="shared" si="535"/>
        <v>854</v>
      </c>
    </row>
    <row r="5919" spans="1:6" x14ac:dyDescent="0.25">
      <c r="A5919" s="140" t="s">
        <v>30</v>
      </c>
      <c r="B5919" s="136">
        <v>44139</v>
      </c>
      <c r="C5919" s="25">
        <v>-11</v>
      </c>
      <c r="D5919" s="29">
        <f t="shared" si="537"/>
        <v>287</v>
      </c>
      <c r="E5919" s="25"/>
      <c r="F5919" s="129">
        <f t="shared" si="535"/>
        <v>6</v>
      </c>
    </row>
    <row r="5920" spans="1:6" x14ac:dyDescent="0.25">
      <c r="A5920" s="140" t="s">
        <v>26</v>
      </c>
      <c r="B5920" s="136">
        <v>44139</v>
      </c>
      <c r="C5920" s="25">
        <v>298</v>
      </c>
      <c r="D5920" s="29">
        <f t="shared" si="537"/>
        <v>23976</v>
      </c>
      <c r="E5920" s="25">
        <v>1</v>
      </c>
      <c r="F5920" s="129">
        <f t="shared" si="535"/>
        <v>415</v>
      </c>
    </row>
    <row r="5921" spans="1:6" x14ac:dyDescent="0.25">
      <c r="A5921" s="140" t="s">
        <v>25</v>
      </c>
      <c r="B5921" s="136">
        <v>44139</v>
      </c>
      <c r="C5921" s="25">
        <v>371</v>
      </c>
      <c r="D5921" s="29">
        <f t="shared" si="537"/>
        <v>25178</v>
      </c>
      <c r="E5921" s="25">
        <v>8</v>
      </c>
      <c r="F5921" s="129">
        <f t="shared" si="535"/>
        <v>642</v>
      </c>
    </row>
    <row r="5922" spans="1:6" x14ac:dyDescent="0.25">
      <c r="A5922" s="140" t="s">
        <v>41</v>
      </c>
      <c r="B5922" s="136">
        <v>44139</v>
      </c>
      <c r="C5922" s="25">
        <v>134</v>
      </c>
      <c r="D5922" s="29">
        <f t="shared" si="537"/>
        <v>19193</v>
      </c>
      <c r="E5922" s="25">
        <v>23</v>
      </c>
      <c r="F5922" s="129">
        <f t="shared" si="535"/>
        <v>835</v>
      </c>
    </row>
    <row r="5923" spans="1:6" x14ac:dyDescent="0.25">
      <c r="A5923" s="140" t="s">
        <v>42</v>
      </c>
      <c r="B5923" s="136">
        <v>44139</v>
      </c>
      <c r="C5923" s="25">
        <v>180</v>
      </c>
      <c r="D5923" s="29">
        <f t="shared" si="537"/>
        <v>3073</v>
      </c>
      <c r="E5923" s="25"/>
      <c r="F5923" s="129">
        <f t="shared" si="535"/>
        <v>102</v>
      </c>
    </row>
    <row r="5924" spans="1:6" x14ac:dyDescent="0.25">
      <c r="A5924" s="140" t="s">
        <v>43</v>
      </c>
      <c r="B5924" s="136">
        <v>44139</v>
      </c>
      <c r="C5924" s="25">
        <v>247</v>
      </c>
      <c r="D5924" s="29">
        <f t="shared" si="537"/>
        <v>8103</v>
      </c>
      <c r="E5924" s="25">
        <v>10</v>
      </c>
      <c r="F5924" s="129">
        <f t="shared" si="535"/>
        <v>102</v>
      </c>
    </row>
    <row r="5925" spans="1:6" x14ac:dyDescent="0.25">
      <c r="A5925" s="140" t="s">
        <v>44</v>
      </c>
      <c r="B5925" s="136">
        <v>44139</v>
      </c>
      <c r="C5925" s="25">
        <v>185</v>
      </c>
      <c r="D5925" s="29">
        <f t="shared" si="537"/>
        <v>10250</v>
      </c>
      <c r="E5925" s="25">
        <v>2</v>
      </c>
      <c r="F5925" s="129">
        <f t="shared" si="535"/>
        <v>149</v>
      </c>
    </row>
    <row r="5926" spans="1:6" x14ac:dyDescent="0.25">
      <c r="A5926" s="140" t="s">
        <v>29</v>
      </c>
      <c r="B5926" s="136">
        <v>44139</v>
      </c>
      <c r="C5926" s="25">
        <v>1543</v>
      </c>
      <c r="D5926" s="29">
        <f t="shared" si="537"/>
        <v>112618</v>
      </c>
      <c r="E5926" s="25">
        <v>56</v>
      </c>
      <c r="F5926" s="129">
        <f t="shared" si="535"/>
        <v>1530</v>
      </c>
    </row>
    <row r="5927" spans="1:6" x14ac:dyDescent="0.25">
      <c r="A5927" s="140" t="s">
        <v>45</v>
      </c>
      <c r="B5927" s="136">
        <v>44139</v>
      </c>
      <c r="C5927" s="25">
        <v>213</v>
      </c>
      <c r="D5927" s="29">
        <f t="shared" si="537"/>
        <v>10387</v>
      </c>
      <c r="E5927" s="25"/>
      <c r="F5927" s="129">
        <f t="shared" si="535"/>
        <v>135</v>
      </c>
    </row>
    <row r="5928" spans="1:6" x14ac:dyDescent="0.25">
      <c r="A5928" s="140" t="s">
        <v>46</v>
      </c>
      <c r="B5928" s="136">
        <v>44139</v>
      </c>
      <c r="C5928" s="25">
        <v>205</v>
      </c>
      <c r="D5928" s="29">
        <f t="shared" si="537"/>
        <v>12179</v>
      </c>
      <c r="E5928" s="25">
        <v>2</v>
      </c>
      <c r="F5928" s="129">
        <f t="shared" si="535"/>
        <v>161</v>
      </c>
    </row>
    <row r="5929" spans="1:6" ht="15.75" thickBot="1" x14ac:dyDescent="0.3">
      <c r="A5929" s="141" t="s">
        <v>47</v>
      </c>
      <c r="B5929" s="145">
        <v>44139</v>
      </c>
      <c r="C5929" s="25">
        <v>750</v>
      </c>
      <c r="D5929" s="132">
        <f>C5929+D5905</f>
        <v>52365</v>
      </c>
      <c r="E5929" s="25">
        <v>17</v>
      </c>
      <c r="F5929" s="130">
        <f t="shared" si="535"/>
        <v>851</v>
      </c>
    </row>
    <row r="5930" spans="1:6" x14ac:dyDescent="0.25">
      <c r="A5930" s="64" t="s">
        <v>22</v>
      </c>
      <c r="B5930" s="138">
        <v>44140</v>
      </c>
      <c r="C5930" s="48">
        <v>3239</v>
      </c>
      <c r="D5930" s="131">
        <f t="shared" si="537"/>
        <v>563938</v>
      </c>
      <c r="E5930" s="48">
        <f>43+38</f>
        <v>81</v>
      </c>
      <c r="F5930" s="128">
        <f t="shared" si="535"/>
        <v>18367</v>
      </c>
    </row>
    <row r="5931" spans="1:6" x14ac:dyDescent="0.25">
      <c r="A5931" s="140" t="s">
        <v>20</v>
      </c>
      <c r="B5931" s="26">
        <v>44140</v>
      </c>
      <c r="C5931" s="4">
        <v>476</v>
      </c>
      <c r="D5931" s="29">
        <f t="shared" si="537"/>
        <v>149296</v>
      </c>
      <c r="E5931" s="4">
        <f>12+1+14</f>
        <v>27</v>
      </c>
      <c r="F5931" s="129">
        <f t="shared" ref="F5931:F5977" si="538">E5931+F5907</f>
        <v>4881</v>
      </c>
    </row>
    <row r="5932" spans="1:6" x14ac:dyDescent="0.25">
      <c r="A5932" s="140" t="s">
        <v>35</v>
      </c>
      <c r="B5932" s="26">
        <v>44140</v>
      </c>
      <c r="C5932" s="4">
        <v>47</v>
      </c>
      <c r="D5932" s="29">
        <f t="shared" si="537"/>
        <v>1120</v>
      </c>
      <c r="F5932" s="129">
        <f t="shared" si="538"/>
        <v>0</v>
      </c>
    </row>
    <row r="5933" spans="1:6" x14ac:dyDescent="0.25">
      <c r="A5933" s="140" t="s">
        <v>21</v>
      </c>
      <c r="B5933" s="26">
        <v>44140</v>
      </c>
      <c r="C5933" s="4">
        <v>145</v>
      </c>
      <c r="D5933" s="29">
        <f t="shared" si="537"/>
        <v>14638</v>
      </c>
      <c r="E5933" s="4">
        <f>4+1</f>
        <v>5</v>
      </c>
      <c r="F5933" s="129">
        <f t="shared" si="538"/>
        <v>453</v>
      </c>
    </row>
    <row r="5934" spans="1:6" x14ac:dyDescent="0.25">
      <c r="A5934" s="140" t="s">
        <v>36</v>
      </c>
      <c r="B5934" s="26">
        <v>44140</v>
      </c>
      <c r="C5934" s="4">
        <v>441</v>
      </c>
      <c r="D5934" s="29">
        <f t="shared" si="537"/>
        <v>16153</v>
      </c>
      <c r="E5934" s="4">
        <f>9+5</f>
        <v>14</v>
      </c>
      <c r="F5934" s="129">
        <f t="shared" si="538"/>
        <v>274</v>
      </c>
    </row>
    <row r="5935" spans="1:6" x14ac:dyDescent="0.25">
      <c r="A5935" s="140" t="s">
        <v>27</v>
      </c>
      <c r="B5935" s="26">
        <v>44140</v>
      </c>
      <c r="C5935" s="4">
        <v>1054</v>
      </c>
      <c r="D5935" s="29">
        <f t="shared" si="537"/>
        <v>90540</v>
      </c>
      <c r="E5935" s="4">
        <f>13+6</f>
        <v>19</v>
      </c>
      <c r="F5935" s="129">
        <f t="shared" si="538"/>
        <v>1415</v>
      </c>
    </row>
    <row r="5936" spans="1:6" x14ac:dyDescent="0.25">
      <c r="A5936" s="140" t="s">
        <v>37</v>
      </c>
      <c r="B5936" s="26">
        <v>44140</v>
      </c>
      <c r="C5936" s="4">
        <v>18</v>
      </c>
      <c r="D5936" s="29">
        <f t="shared" si="537"/>
        <v>2651</v>
      </c>
      <c r="F5936" s="129">
        <f t="shared" si="538"/>
        <v>49</v>
      </c>
    </row>
    <row r="5937" spans="1:6" x14ac:dyDescent="0.25">
      <c r="A5937" s="140" t="s">
        <v>38</v>
      </c>
      <c r="B5937" s="26">
        <v>44140</v>
      </c>
      <c r="C5937" s="4">
        <v>336</v>
      </c>
      <c r="D5937" s="29">
        <f t="shared" si="537"/>
        <v>17345</v>
      </c>
      <c r="E5937" s="4">
        <f>5</f>
        <v>5</v>
      </c>
      <c r="F5937" s="129">
        <f t="shared" si="538"/>
        <v>307</v>
      </c>
    </row>
    <row r="5938" spans="1:6" x14ac:dyDescent="0.25">
      <c r="A5938" s="140" t="s">
        <v>48</v>
      </c>
      <c r="B5938" s="26">
        <v>44140</v>
      </c>
      <c r="C5938" s="4">
        <v>-3</v>
      </c>
      <c r="D5938" s="29">
        <f t="shared" si="537"/>
        <v>160</v>
      </c>
      <c r="F5938" s="129">
        <f t="shared" si="538"/>
        <v>3</v>
      </c>
    </row>
    <row r="5939" spans="1:6" x14ac:dyDescent="0.25">
      <c r="A5939" s="140" t="s">
        <v>39</v>
      </c>
      <c r="B5939" s="26">
        <v>44140</v>
      </c>
      <c r="C5939" s="4">
        <v>13</v>
      </c>
      <c r="D5939" s="29">
        <f t="shared" si="537"/>
        <v>17975</v>
      </c>
      <c r="E5939" s="4">
        <f>4</f>
        <v>4</v>
      </c>
      <c r="F5939" s="129">
        <f t="shared" si="538"/>
        <v>821</v>
      </c>
    </row>
    <row r="5940" spans="1:6" x14ac:dyDescent="0.25">
      <c r="A5940" s="140" t="s">
        <v>40</v>
      </c>
      <c r="B5940" s="26">
        <v>44140</v>
      </c>
      <c r="C5940" s="4">
        <v>111</v>
      </c>
      <c r="D5940" s="29">
        <f t="shared" si="537"/>
        <v>3812</v>
      </c>
      <c r="F5940" s="129">
        <f t="shared" si="538"/>
        <v>36</v>
      </c>
    </row>
    <row r="5941" spans="1:6" x14ac:dyDescent="0.25">
      <c r="A5941" s="140" t="s">
        <v>28</v>
      </c>
      <c r="B5941" s="26">
        <v>44140</v>
      </c>
      <c r="C5941" s="4">
        <v>20</v>
      </c>
      <c r="D5941" s="29">
        <f t="shared" si="537"/>
        <v>7763</v>
      </c>
      <c r="E5941" s="4">
        <f>3+2</f>
        <v>5</v>
      </c>
      <c r="F5941" s="129">
        <f t="shared" si="538"/>
        <v>288</v>
      </c>
    </row>
    <row r="5942" spans="1:6" x14ac:dyDescent="0.25">
      <c r="A5942" s="140" t="s">
        <v>24</v>
      </c>
      <c r="B5942" s="26">
        <v>44140</v>
      </c>
      <c r="C5942" s="4">
        <v>628</v>
      </c>
      <c r="D5942" s="29">
        <f t="shared" si="537"/>
        <v>49454</v>
      </c>
      <c r="E5942" s="4">
        <f>8+5</f>
        <v>13</v>
      </c>
      <c r="F5942" s="129">
        <f t="shared" si="538"/>
        <v>867</v>
      </c>
    </row>
    <row r="5943" spans="1:6" x14ac:dyDescent="0.25">
      <c r="A5943" s="140" t="s">
        <v>30</v>
      </c>
      <c r="B5943" s="26">
        <v>44140</v>
      </c>
      <c r="C5943" s="4">
        <v>18</v>
      </c>
      <c r="D5943" s="29">
        <f t="shared" si="537"/>
        <v>305</v>
      </c>
      <c r="F5943" s="129">
        <f t="shared" si="538"/>
        <v>6</v>
      </c>
    </row>
    <row r="5944" spans="1:6" x14ac:dyDescent="0.25">
      <c r="A5944" s="140" t="s">
        <v>26</v>
      </c>
      <c r="B5944" s="26">
        <v>44140</v>
      </c>
      <c r="C5944" s="4">
        <v>462</v>
      </c>
      <c r="D5944" s="29">
        <f t="shared" si="537"/>
        <v>24438</v>
      </c>
      <c r="F5944" s="129">
        <f t="shared" si="538"/>
        <v>415</v>
      </c>
    </row>
    <row r="5945" spans="1:6" x14ac:dyDescent="0.25">
      <c r="A5945" s="140" t="s">
        <v>25</v>
      </c>
      <c r="B5945" s="26">
        <v>44140</v>
      </c>
      <c r="C5945" s="4">
        <v>355</v>
      </c>
      <c r="D5945" s="29">
        <f t="shared" si="537"/>
        <v>25533</v>
      </c>
      <c r="E5945" s="4">
        <f>4+1</f>
        <v>5</v>
      </c>
      <c r="F5945" s="129">
        <f t="shared" si="538"/>
        <v>647</v>
      </c>
    </row>
    <row r="5946" spans="1:6" x14ac:dyDescent="0.25">
      <c r="A5946" s="140" t="s">
        <v>41</v>
      </c>
      <c r="B5946" s="26">
        <v>44140</v>
      </c>
      <c r="C5946" s="4">
        <v>112</v>
      </c>
      <c r="D5946" s="29">
        <f t="shared" si="537"/>
        <v>19305</v>
      </c>
      <c r="E5946" s="4">
        <f>5+3</f>
        <v>8</v>
      </c>
      <c r="F5946" s="129">
        <f t="shared" si="538"/>
        <v>843</v>
      </c>
    </row>
    <row r="5947" spans="1:6" x14ac:dyDescent="0.25">
      <c r="A5947" s="140" t="s">
        <v>42</v>
      </c>
      <c r="B5947" s="26">
        <v>44140</v>
      </c>
      <c r="C5947" s="4">
        <v>134</v>
      </c>
      <c r="D5947" s="29">
        <f t="shared" si="537"/>
        <v>3207</v>
      </c>
      <c r="F5947" s="129">
        <f t="shared" si="538"/>
        <v>102</v>
      </c>
    </row>
    <row r="5948" spans="1:6" x14ac:dyDescent="0.25">
      <c r="A5948" s="140" t="s">
        <v>43</v>
      </c>
      <c r="B5948" s="26">
        <v>44140</v>
      </c>
      <c r="C5948" s="4">
        <v>293</v>
      </c>
      <c r="D5948" s="29">
        <f t="shared" si="537"/>
        <v>8396</v>
      </c>
      <c r="E5948" s="4">
        <f>3+6</f>
        <v>9</v>
      </c>
      <c r="F5948" s="129">
        <f t="shared" si="538"/>
        <v>111</v>
      </c>
    </row>
    <row r="5949" spans="1:6" x14ac:dyDescent="0.25">
      <c r="A5949" s="140" t="s">
        <v>44</v>
      </c>
      <c r="B5949" s="26">
        <v>44140</v>
      </c>
      <c r="C5949" s="4">
        <v>269</v>
      </c>
      <c r="D5949" s="29">
        <f t="shared" si="537"/>
        <v>10519</v>
      </c>
      <c r="E5949" s="4">
        <f>5+5</f>
        <v>10</v>
      </c>
      <c r="F5949" s="129">
        <f t="shared" si="538"/>
        <v>159</v>
      </c>
    </row>
    <row r="5950" spans="1:6" x14ac:dyDescent="0.25">
      <c r="A5950" s="140" t="s">
        <v>29</v>
      </c>
      <c r="B5950" s="26">
        <v>44140</v>
      </c>
      <c r="C5950" s="4">
        <v>1741</v>
      </c>
      <c r="D5950" s="29">
        <f t="shared" si="537"/>
        <v>114359</v>
      </c>
      <c r="E5950" s="4">
        <f>11+8</f>
        <v>19</v>
      </c>
      <c r="F5950" s="129">
        <f t="shared" si="538"/>
        <v>1549</v>
      </c>
    </row>
    <row r="5951" spans="1:6" x14ac:dyDescent="0.25">
      <c r="A5951" s="140" t="s">
        <v>45</v>
      </c>
      <c r="B5951" s="26">
        <v>44140</v>
      </c>
      <c r="C5951" s="4">
        <v>320</v>
      </c>
      <c r="D5951" s="29">
        <f t="shared" si="537"/>
        <v>10707</v>
      </c>
      <c r="E5951" s="4">
        <v>3</v>
      </c>
      <c r="F5951" s="129">
        <f t="shared" si="538"/>
        <v>138</v>
      </c>
    </row>
    <row r="5952" spans="1:6" x14ac:dyDescent="0.25">
      <c r="A5952" s="140" t="s">
        <v>46</v>
      </c>
      <c r="B5952" s="26">
        <v>44140</v>
      </c>
      <c r="C5952" s="4">
        <v>267</v>
      </c>
      <c r="D5952" s="29">
        <f t="shared" si="537"/>
        <v>12446</v>
      </c>
      <c r="E5952" s="4">
        <f>2</f>
        <v>2</v>
      </c>
      <c r="F5952" s="129">
        <f t="shared" si="538"/>
        <v>163</v>
      </c>
    </row>
    <row r="5953" spans="1:6" ht="15.75" thickBot="1" x14ac:dyDescent="0.3">
      <c r="A5953" s="141" t="s">
        <v>47</v>
      </c>
      <c r="B5953" s="26">
        <v>44140</v>
      </c>
      <c r="C5953" s="4">
        <v>603</v>
      </c>
      <c r="D5953" s="132">
        <f>C5953+D5929</f>
        <v>52968</v>
      </c>
      <c r="E5953" s="4">
        <f>7+11</f>
        <v>18</v>
      </c>
      <c r="F5953" s="130">
        <f t="shared" si="538"/>
        <v>869</v>
      </c>
    </row>
    <row r="5954" spans="1:6" x14ac:dyDescent="0.25">
      <c r="A5954" s="64" t="s">
        <v>22</v>
      </c>
      <c r="B5954" s="26">
        <v>44141</v>
      </c>
      <c r="C5954" s="4">
        <v>3089</v>
      </c>
      <c r="D5954" s="131">
        <f t="shared" si="537"/>
        <v>567027</v>
      </c>
      <c r="E5954" s="4">
        <f>1+74+81</f>
        <v>156</v>
      </c>
      <c r="F5954" s="128">
        <f t="shared" si="538"/>
        <v>18523</v>
      </c>
    </row>
    <row r="5955" spans="1:6" x14ac:dyDescent="0.25">
      <c r="A5955" s="140" t="s">
        <v>20</v>
      </c>
      <c r="B5955" s="26">
        <v>44141</v>
      </c>
      <c r="C5955" s="4">
        <v>641</v>
      </c>
      <c r="D5955" s="29">
        <f t="shared" si="537"/>
        <v>149937</v>
      </c>
      <c r="E5955" s="4">
        <f>1+22+17</f>
        <v>40</v>
      </c>
      <c r="F5955" s="129">
        <f t="shared" si="538"/>
        <v>4921</v>
      </c>
    </row>
    <row r="5956" spans="1:6" x14ac:dyDescent="0.25">
      <c r="A5956" s="140" t="s">
        <v>35</v>
      </c>
      <c r="B5956" s="26">
        <v>44141</v>
      </c>
      <c r="C5956" s="4">
        <v>3</v>
      </c>
      <c r="D5956" s="29">
        <f t="shared" si="537"/>
        <v>1123</v>
      </c>
      <c r="F5956" s="129">
        <f t="shared" si="538"/>
        <v>0</v>
      </c>
    </row>
    <row r="5957" spans="1:6" x14ac:dyDescent="0.25">
      <c r="A5957" s="140" t="s">
        <v>21</v>
      </c>
      <c r="B5957" s="26">
        <v>44141</v>
      </c>
      <c r="C5957" s="4">
        <v>121</v>
      </c>
      <c r="D5957" s="29">
        <f t="shared" si="537"/>
        <v>14759</v>
      </c>
      <c r="E5957" s="4">
        <f>3+2</f>
        <v>5</v>
      </c>
      <c r="F5957" s="129">
        <f t="shared" si="538"/>
        <v>458</v>
      </c>
    </row>
    <row r="5958" spans="1:6" x14ac:dyDescent="0.25">
      <c r="A5958" s="140" t="s">
        <v>36</v>
      </c>
      <c r="B5958" s="26">
        <v>44141</v>
      </c>
      <c r="C5958" s="4">
        <v>392</v>
      </c>
      <c r="D5958" s="29">
        <f t="shared" si="537"/>
        <v>16545</v>
      </c>
      <c r="E5958" s="4">
        <f>1+1</f>
        <v>2</v>
      </c>
      <c r="F5958" s="129">
        <f t="shared" si="538"/>
        <v>276</v>
      </c>
    </row>
    <row r="5959" spans="1:6" x14ac:dyDescent="0.25">
      <c r="A5959" s="140" t="s">
        <v>27</v>
      </c>
      <c r="B5959" s="26">
        <v>44141</v>
      </c>
      <c r="C5959" s="4">
        <v>1258</v>
      </c>
      <c r="D5959" s="29">
        <f t="shared" si="537"/>
        <v>91798</v>
      </c>
      <c r="E5959" s="4">
        <f>21+7</f>
        <v>28</v>
      </c>
      <c r="F5959" s="129">
        <f t="shared" si="538"/>
        <v>1443</v>
      </c>
    </row>
    <row r="5960" spans="1:6" x14ac:dyDescent="0.25">
      <c r="A5960" s="140" t="s">
        <v>37</v>
      </c>
      <c r="B5960" s="26">
        <v>44141</v>
      </c>
      <c r="C5960" s="4">
        <v>106</v>
      </c>
      <c r="D5960" s="29">
        <f t="shared" si="537"/>
        <v>2757</v>
      </c>
      <c r="E5960" s="4">
        <f>5+2</f>
        <v>7</v>
      </c>
      <c r="F5960" s="129">
        <f t="shared" si="538"/>
        <v>56</v>
      </c>
    </row>
    <row r="5961" spans="1:6" x14ac:dyDescent="0.25">
      <c r="A5961" s="140" t="s">
        <v>38</v>
      </c>
      <c r="B5961" s="26">
        <v>44141</v>
      </c>
      <c r="C5961" s="4">
        <v>338</v>
      </c>
      <c r="D5961" s="29">
        <f t="shared" si="537"/>
        <v>17683</v>
      </c>
      <c r="E5961" s="4">
        <f>7+4</f>
        <v>11</v>
      </c>
      <c r="F5961" s="129">
        <f t="shared" si="538"/>
        <v>318</v>
      </c>
    </row>
    <row r="5962" spans="1:6" x14ac:dyDescent="0.25">
      <c r="A5962" s="140" t="s">
        <v>48</v>
      </c>
      <c r="B5962" s="26">
        <v>44141</v>
      </c>
      <c r="C5962" s="4">
        <v>2</v>
      </c>
      <c r="D5962" s="29">
        <f t="shared" si="537"/>
        <v>162</v>
      </c>
      <c r="F5962" s="129">
        <f t="shared" si="538"/>
        <v>3</v>
      </c>
    </row>
    <row r="5963" spans="1:6" x14ac:dyDescent="0.25">
      <c r="A5963" s="140" t="s">
        <v>39</v>
      </c>
      <c r="B5963" s="26">
        <v>44141</v>
      </c>
      <c r="C5963" s="4">
        <v>14</v>
      </c>
      <c r="D5963" s="29">
        <f t="shared" si="537"/>
        <v>17989</v>
      </c>
      <c r="F5963" s="129">
        <f t="shared" si="538"/>
        <v>821</v>
      </c>
    </row>
    <row r="5964" spans="1:6" x14ac:dyDescent="0.25">
      <c r="A5964" s="140" t="s">
        <v>40</v>
      </c>
      <c r="B5964" s="26">
        <v>44141</v>
      </c>
      <c r="C5964" s="4">
        <v>104</v>
      </c>
      <c r="D5964" s="29">
        <f t="shared" si="537"/>
        <v>3916</v>
      </c>
      <c r="F5964" s="129">
        <f t="shared" si="538"/>
        <v>36</v>
      </c>
    </row>
    <row r="5965" spans="1:6" x14ac:dyDescent="0.25">
      <c r="A5965" s="140" t="s">
        <v>28</v>
      </c>
      <c r="B5965" s="26">
        <v>44141</v>
      </c>
      <c r="C5965" s="4">
        <v>18</v>
      </c>
      <c r="D5965" s="29">
        <f t="shared" si="537"/>
        <v>7781</v>
      </c>
      <c r="E5965" s="4">
        <v>1</v>
      </c>
      <c r="F5965" s="129">
        <f t="shared" si="538"/>
        <v>289</v>
      </c>
    </row>
    <row r="5966" spans="1:6" x14ac:dyDescent="0.25">
      <c r="A5966" s="140" t="s">
        <v>24</v>
      </c>
      <c r="B5966" s="26">
        <v>44141</v>
      </c>
      <c r="C5966" s="4">
        <v>626</v>
      </c>
      <c r="D5966" s="29">
        <f t="shared" si="537"/>
        <v>50080</v>
      </c>
      <c r="E5966" s="4">
        <f>15+7</f>
        <v>22</v>
      </c>
      <c r="F5966" s="129">
        <f t="shared" si="538"/>
        <v>889</v>
      </c>
    </row>
    <row r="5967" spans="1:6" x14ac:dyDescent="0.25">
      <c r="A5967" s="140" t="s">
        <v>30</v>
      </c>
      <c r="B5967" s="26">
        <v>44141</v>
      </c>
      <c r="C5967" s="4">
        <v>15</v>
      </c>
      <c r="D5967" s="29">
        <f t="shared" si="537"/>
        <v>320</v>
      </c>
      <c r="F5967" s="129">
        <f t="shared" si="538"/>
        <v>6</v>
      </c>
    </row>
    <row r="5968" spans="1:6" x14ac:dyDescent="0.25">
      <c r="A5968" s="140" t="s">
        <v>26</v>
      </c>
      <c r="B5968" s="26">
        <v>44141</v>
      </c>
      <c r="C5968" s="4">
        <v>310</v>
      </c>
      <c r="D5968" s="29">
        <f t="shared" si="537"/>
        <v>24748</v>
      </c>
      <c r="E5968" s="4">
        <f>4+4</f>
        <v>8</v>
      </c>
      <c r="F5968" s="129">
        <f t="shared" si="538"/>
        <v>423</v>
      </c>
    </row>
    <row r="5969" spans="1:6" x14ac:dyDescent="0.25">
      <c r="A5969" s="140" t="s">
        <v>25</v>
      </c>
      <c r="B5969" s="26">
        <v>44141</v>
      </c>
      <c r="C5969" s="4">
        <v>383</v>
      </c>
      <c r="D5969" s="29">
        <f t="shared" si="537"/>
        <v>25916</v>
      </c>
      <c r="E5969" s="4">
        <f>3+2</f>
        <v>5</v>
      </c>
      <c r="F5969" s="129">
        <f t="shared" si="538"/>
        <v>652</v>
      </c>
    </row>
    <row r="5970" spans="1:6" x14ac:dyDescent="0.25">
      <c r="A5970" s="140" t="s">
        <v>41</v>
      </c>
      <c r="B5970" s="26">
        <v>44141</v>
      </c>
      <c r="C5970" s="4">
        <v>93</v>
      </c>
      <c r="D5970" s="29">
        <f t="shared" ref="D5970:D5976" si="539">C5970+D5946</f>
        <v>19398</v>
      </c>
      <c r="E5970" s="4">
        <f>6+4</f>
        <v>10</v>
      </c>
      <c r="F5970" s="129">
        <f t="shared" si="538"/>
        <v>853</v>
      </c>
    </row>
    <row r="5971" spans="1:6" x14ac:dyDescent="0.25">
      <c r="A5971" s="140" t="s">
        <v>42</v>
      </c>
      <c r="B5971" s="26">
        <v>44141</v>
      </c>
      <c r="C5971" s="4">
        <v>191</v>
      </c>
      <c r="D5971" s="29">
        <f t="shared" si="539"/>
        <v>3398</v>
      </c>
      <c r="F5971" s="129">
        <f t="shared" si="538"/>
        <v>102</v>
      </c>
    </row>
    <row r="5972" spans="1:6" x14ac:dyDescent="0.25">
      <c r="A5972" s="140" t="s">
        <v>43</v>
      </c>
      <c r="B5972" s="26">
        <v>44141</v>
      </c>
      <c r="C5972" s="4">
        <v>468</v>
      </c>
      <c r="D5972" s="29">
        <f t="shared" si="539"/>
        <v>8864</v>
      </c>
      <c r="E5972" s="4">
        <f>9+1</f>
        <v>10</v>
      </c>
      <c r="F5972" s="129">
        <f t="shared" si="538"/>
        <v>121</v>
      </c>
    </row>
    <row r="5973" spans="1:6" x14ac:dyDescent="0.25">
      <c r="A5973" s="140" t="s">
        <v>44</v>
      </c>
      <c r="B5973" s="26">
        <v>44141</v>
      </c>
      <c r="C5973" s="4">
        <v>222</v>
      </c>
      <c r="D5973" s="29">
        <f t="shared" si="539"/>
        <v>10741</v>
      </c>
      <c r="E5973" s="4">
        <f>2+2</f>
        <v>4</v>
      </c>
      <c r="F5973" s="129">
        <f t="shared" si="538"/>
        <v>163</v>
      </c>
    </row>
    <row r="5974" spans="1:6" x14ac:dyDescent="0.25">
      <c r="A5974" s="140" t="s">
        <v>29</v>
      </c>
      <c r="B5974" s="26">
        <v>44141</v>
      </c>
      <c r="C5974" s="4">
        <v>1736</v>
      </c>
      <c r="D5974" s="29">
        <f t="shared" si="539"/>
        <v>116095</v>
      </c>
      <c r="E5974" s="4">
        <f>1+30+22</f>
        <v>53</v>
      </c>
      <c r="F5974" s="129">
        <f t="shared" si="538"/>
        <v>1602</v>
      </c>
    </row>
    <row r="5975" spans="1:6" x14ac:dyDescent="0.25">
      <c r="A5975" s="140" t="s">
        <v>45</v>
      </c>
      <c r="B5975" s="26">
        <v>44141</v>
      </c>
      <c r="C5975" s="4">
        <v>223</v>
      </c>
      <c r="D5975" s="29">
        <f t="shared" si="539"/>
        <v>10930</v>
      </c>
      <c r="E5975" s="4">
        <f>3</f>
        <v>3</v>
      </c>
      <c r="F5975" s="129">
        <f t="shared" si="538"/>
        <v>141</v>
      </c>
    </row>
    <row r="5976" spans="1:6" x14ac:dyDescent="0.25">
      <c r="A5976" s="140" t="s">
        <v>46</v>
      </c>
      <c r="B5976" s="26">
        <v>44141</v>
      </c>
      <c r="C5976" s="4">
        <v>311</v>
      </c>
      <c r="D5976" s="29">
        <f t="shared" si="539"/>
        <v>12757</v>
      </c>
      <c r="F5976" s="129">
        <f t="shared" si="538"/>
        <v>163</v>
      </c>
    </row>
    <row r="5977" spans="1:6" ht="15.75" thickBot="1" x14ac:dyDescent="0.3">
      <c r="A5977" s="141" t="s">
        <v>47</v>
      </c>
      <c r="B5977" s="26">
        <v>44141</v>
      </c>
      <c r="C5977" s="4">
        <v>1122</v>
      </c>
      <c r="D5977" s="132">
        <f>C5977+D5953</f>
        <v>54090</v>
      </c>
      <c r="E5977" s="4">
        <f>3+3</f>
        <v>6</v>
      </c>
      <c r="F5977" s="130">
        <f t="shared" si="538"/>
        <v>875</v>
      </c>
    </row>
  </sheetData>
  <autoFilter ref="A1:E5521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BF9B3-4D21-4C54-9BC1-2B1027BDDD55}">
  <dimension ref="A1:U240"/>
  <sheetViews>
    <sheetView topLeftCell="A220" zoomScale="85" zoomScaleNormal="85" workbookViewId="0">
      <selection activeCell="K234" sqref="K234"/>
    </sheetView>
  </sheetViews>
  <sheetFormatPr baseColWidth="10" defaultRowHeight="15" x14ac:dyDescent="0.25"/>
  <cols>
    <col min="1" max="1" width="10.5703125" style="74" bestFit="1" customWidth="1"/>
    <col min="2" max="2" width="11.85546875" style="95" bestFit="1" customWidth="1"/>
    <col min="3" max="3" width="11.42578125" style="95"/>
    <col min="4" max="4" width="9.140625" style="95" customWidth="1"/>
    <col min="5" max="5" width="10" style="95" customWidth="1"/>
    <col min="6" max="6" width="11.42578125" style="83"/>
    <col min="7" max="7" width="9.42578125" style="95" customWidth="1"/>
    <col min="8" max="10" width="11.42578125" style="95"/>
    <col min="11" max="11" width="12" style="36" customWidth="1"/>
    <col min="12" max="12" width="15" style="36" customWidth="1"/>
    <col min="13" max="13" width="15.28515625" style="95" customWidth="1"/>
    <col min="14" max="17" width="11.42578125" style="95"/>
    <col min="18" max="18" width="8.5703125" style="95" customWidth="1"/>
    <col min="19" max="19" width="11.42578125" style="25"/>
    <col min="20" max="20" width="13.85546875" style="95" customWidth="1"/>
    <col min="21" max="16384" width="11.42578125" style="95"/>
  </cols>
  <sheetData>
    <row r="1" spans="1:20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9" t="s">
        <v>4</v>
      </c>
      <c r="G1" s="1" t="s">
        <v>5</v>
      </c>
      <c r="H1" s="1" t="s">
        <v>6</v>
      </c>
      <c r="I1" s="1" t="s">
        <v>7</v>
      </c>
      <c r="J1" s="1"/>
      <c r="K1" s="21" t="s">
        <v>8</v>
      </c>
      <c r="L1" s="2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130</v>
      </c>
      <c r="S1" s="1" t="s">
        <v>132</v>
      </c>
      <c r="T1" s="4" t="s">
        <v>131</v>
      </c>
    </row>
    <row r="2" spans="1:2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79">
        <v>0</v>
      </c>
      <c r="G2" s="1"/>
      <c r="H2" s="1"/>
      <c r="I2" s="1"/>
      <c r="J2" s="1"/>
      <c r="K2" s="21"/>
      <c r="L2" s="21"/>
      <c r="M2" s="1"/>
      <c r="N2" s="1">
        <v>1</v>
      </c>
      <c r="O2" s="1">
        <v>0</v>
      </c>
      <c r="P2" s="1">
        <v>0</v>
      </c>
      <c r="Q2" s="1">
        <v>0</v>
      </c>
      <c r="R2" s="22"/>
      <c r="S2" s="1"/>
      <c r="T2" s="4"/>
    </row>
    <row r="3" spans="1:2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79">
        <v>0</v>
      </c>
      <c r="G3" s="1"/>
      <c r="H3" s="1"/>
      <c r="I3" s="1"/>
      <c r="J3" s="1"/>
      <c r="K3" s="21"/>
      <c r="L3" s="21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79">
        <v>0</v>
      </c>
      <c r="G4" s="1"/>
      <c r="H4" s="1"/>
      <c r="I4" s="1"/>
      <c r="J4" s="1"/>
      <c r="K4" s="21"/>
      <c r="L4" s="21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79">
        <v>0</v>
      </c>
      <c r="G5" s="1"/>
      <c r="H5" s="1"/>
      <c r="I5" s="1"/>
      <c r="J5" s="1"/>
      <c r="K5" s="21"/>
      <c r="L5" s="21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79">
        <v>0</v>
      </c>
      <c r="G6" s="1"/>
      <c r="H6" s="1"/>
      <c r="I6" s="1"/>
      <c r="J6" s="1"/>
      <c r="K6" s="21"/>
      <c r="L6" s="21"/>
      <c r="M6" s="1"/>
      <c r="N6" s="1">
        <v>9</v>
      </c>
      <c r="O6" s="1">
        <v>0</v>
      </c>
      <c r="P6" s="1">
        <v>0</v>
      </c>
      <c r="Q6" s="1">
        <v>0</v>
      </c>
      <c r="R6" s="1"/>
      <c r="S6" s="1"/>
      <c r="T6" s="4"/>
    </row>
    <row r="7" spans="1:2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79">
        <v>0</v>
      </c>
      <c r="G7" s="1"/>
      <c r="H7" s="1"/>
      <c r="I7" s="1"/>
      <c r="J7" s="1"/>
      <c r="K7" s="21"/>
      <c r="L7" s="21"/>
      <c r="M7" s="1"/>
      <c r="N7" s="1">
        <v>12</v>
      </c>
      <c r="O7" s="1">
        <v>0</v>
      </c>
      <c r="P7" s="1">
        <v>0</v>
      </c>
      <c r="Q7" s="1">
        <v>0</v>
      </c>
      <c r="R7" s="1"/>
      <c r="S7" s="1"/>
      <c r="T7" s="4"/>
    </row>
    <row r="8" spans="1:2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79">
        <v>0</v>
      </c>
      <c r="G8" s="1"/>
      <c r="H8" s="1"/>
      <c r="I8" s="1"/>
      <c r="J8" s="1"/>
      <c r="K8" s="21"/>
      <c r="L8" s="21"/>
      <c r="M8" s="1"/>
      <c r="N8" s="1">
        <v>17</v>
      </c>
      <c r="O8" s="1">
        <v>0</v>
      </c>
      <c r="P8" s="1">
        <v>0</v>
      </c>
      <c r="Q8" s="1">
        <v>0</v>
      </c>
      <c r="R8" s="1"/>
      <c r="S8" s="1"/>
      <c r="T8" s="4"/>
    </row>
    <row r="9" spans="1:2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79">
        <v>0</v>
      </c>
      <c r="G9" s="1"/>
      <c r="H9" s="1"/>
      <c r="I9" s="1"/>
      <c r="J9" s="1"/>
      <c r="K9" s="21"/>
      <c r="L9" s="21"/>
      <c r="M9" s="1"/>
      <c r="N9" s="1">
        <v>19</v>
      </c>
      <c r="O9" s="1">
        <v>0</v>
      </c>
      <c r="P9" s="1">
        <v>0</v>
      </c>
      <c r="Q9" s="1">
        <v>0</v>
      </c>
      <c r="R9" s="1"/>
      <c r="S9" s="1"/>
      <c r="T9" s="4"/>
    </row>
    <row r="10" spans="1:2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79">
        <v>0</v>
      </c>
      <c r="G10" s="1"/>
      <c r="H10" s="1"/>
      <c r="I10" s="1"/>
      <c r="J10" s="1"/>
      <c r="K10" s="21"/>
      <c r="L10" s="21"/>
      <c r="M10" s="1"/>
      <c r="N10" s="1">
        <v>21</v>
      </c>
      <c r="O10" s="1">
        <v>0</v>
      </c>
      <c r="P10" s="1">
        <v>0</v>
      </c>
      <c r="Q10" s="1">
        <v>0</v>
      </c>
      <c r="R10" s="1"/>
      <c r="S10" s="1"/>
      <c r="T10" s="4"/>
    </row>
    <row r="11" spans="1:2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79">
        <v>0</v>
      </c>
      <c r="G11" s="1"/>
      <c r="H11" s="1"/>
      <c r="I11" s="1"/>
      <c r="J11" s="1"/>
      <c r="K11" s="21"/>
      <c r="L11" s="21"/>
      <c r="M11" s="1"/>
      <c r="N11" s="1">
        <v>28</v>
      </c>
      <c r="O11" s="1">
        <v>3</v>
      </c>
      <c r="P11" s="1">
        <v>0</v>
      </c>
      <c r="Q11" s="1">
        <v>0</v>
      </c>
      <c r="R11" s="1"/>
      <c r="S11" s="1"/>
      <c r="T11" s="4"/>
    </row>
    <row r="12" spans="1:2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79">
        <v>0</v>
      </c>
      <c r="G12" s="1"/>
      <c r="H12" s="1"/>
      <c r="I12" s="1"/>
      <c r="J12" s="1"/>
      <c r="K12" s="21"/>
      <c r="L12" s="21"/>
      <c r="M12" s="1"/>
      <c r="N12" s="1">
        <v>30</v>
      </c>
      <c r="O12" s="1">
        <v>4</v>
      </c>
      <c r="P12" s="1">
        <v>0</v>
      </c>
      <c r="Q12" s="1">
        <v>0</v>
      </c>
      <c r="R12" s="1"/>
      <c r="S12" s="1"/>
      <c r="T12" s="4"/>
    </row>
    <row r="13" spans="1:2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79">
        <v>0</v>
      </c>
      <c r="G13" s="1"/>
      <c r="H13" s="1"/>
      <c r="I13" s="1"/>
      <c r="J13" s="1"/>
      <c r="K13" s="21"/>
      <c r="L13" s="21"/>
      <c r="M13" s="1"/>
      <c r="N13" s="1">
        <v>40</v>
      </c>
      <c r="O13" s="1">
        <v>5</v>
      </c>
      <c r="P13" s="1">
        <v>0</v>
      </c>
      <c r="Q13" s="1">
        <v>0</v>
      </c>
      <c r="R13" s="1"/>
      <c r="S13" s="1"/>
      <c r="T13" s="4"/>
    </row>
    <row r="14" spans="1:2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79">
        <v>0</v>
      </c>
      <c r="G14" s="1"/>
      <c r="H14" s="1"/>
      <c r="I14" s="1"/>
      <c r="J14" s="1"/>
      <c r="K14" s="21"/>
      <c r="L14" s="21"/>
      <c r="M14" s="1"/>
      <c r="N14" s="1">
        <v>48</v>
      </c>
      <c r="O14" s="1">
        <v>8</v>
      </c>
      <c r="P14" s="1">
        <v>0</v>
      </c>
      <c r="Q14" s="1">
        <v>0</v>
      </c>
      <c r="R14" s="1"/>
      <c r="S14" s="72">
        <f t="shared" ref="S14:S77" si="0">G14/(C14-E14-F14)</f>
        <v>0</v>
      </c>
      <c r="T14" s="62">
        <f>E14/C14</f>
        <v>3.5714285714285712E-2</v>
      </c>
    </row>
    <row r="15" spans="1:2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79">
        <v>0</v>
      </c>
      <c r="G15" s="1"/>
      <c r="H15" s="1"/>
      <c r="I15" s="1"/>
      <c r="J15" s="1"/>
      <c r="K15" s="21"/>
      <c r="L15" s="21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1"/>
      <c r="S15" s="72">
        <f t="shared" si="0"/>
        <v>0</v>
      </c>
      <c r="T15" s="62">
        <f t="shared" ref="T15:T78" si="1">E15/C15</f>
        <v>3.0769230769230771E-2</v>
      </c>
    </row>
    <row r="16" spans="1:2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79">
        <v>0</v>
      </c>
      <c r="G16" s="1"/>
      <c r="H16" s="1"/>
      <c r="I16" s="1"/>
      <c r="J16" s="1"/>
      <c r="K16" s="21">
        <v>686</v>
      </c>
      <c r="L16" s="21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1"/>
      <c r="S16" s="72">
        <f t="shared" si="0"/>
        <v>0</v>
      </c>
      <c r="T16" s="62">
        <f t="shared" si="1"/>
        <v>2.564102564102564E-2</v>
      </c>
    </row>
    <row r="17" spans="1:2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79">
        <v>18</v>
      </c>
      <c r="G17" s="1"/>
      <c r="H17" s="1"/>
      <c r="I17" s="1"/>
      <c r="J17" s="1"/>
      <c r="K17" s="21"/>
      <c r="L17" s="21">
        <v>562</v>
      </c>
      <c r="M17" s="1">
        <v>562</v>
      </c>
      <c r="N17" s="1">
        <v>80</v>
      </c>
      <c r="O17" s="1">
        <v>16</v>
      </c>
      <c r="P17" s="1">
        <v>0</v>
      </c>
      <c r="Q17" s="16">
        <f t="shared" ref="Q17:Q80" si="2">C17-P17-O17-N17</f>
        <v>1</v>
      </c>
      <c r="R17" s="1"/>
      <c r="S17" s="72">
        <f t="shared" si="0"/>
        <v>0</v>
      </c>
      <c r="T17" s="62">
        <f t="shared" si="1"/>
        <v>3.0927835051546393E-2</v>
      </c>
    </row>
    <row r="18" spans="1:2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79">
        <v>23</v>
      </c>
      <c r="G18" s="1"/>
      <c r="H18" s="1"/>
      <c r="I18" s="1"/>
      <c r="J18" s="1"/>
      <c r="K18" s="21"/>
      <c r="L18" s="21">
        <v>705</v>
      </c>
      <c r="M18" s="1">
        <v>705</v>
      </c>
      <c r="N18" s="1">
        <v>100</v>
      </c>
      <c r="O18" s="1">
        <v>22</v>
      </c>
      <c r="P18" s="1">
        <v>0</v>
      </c>
      <c r="Q18" s="16">
        <f t="shared" si="2"/>
        <v>6</v>
      </c>
      <c r="R18" s="1"/>
      <c r="S18" s="72">
        <f t="shared" si="0"/>
        <v>0</v>
      </c>
      <c r="T18" s="62">
        <f t="shared" si="1"/>
        <v>2.34375E-2</v>
      </c>
    </row>
    <row r="19" spans="1:2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79">
        <v>31</v>
      </c>
      <c r="G19" s="1"/>
      <c r="H19" s="1"/>
      <c r="I19" s="1"/>
      <c r="J19" s="1"/>
      <c r="K19" s="21"/>
      <c r="L19" s="21">
        <v>872</v>
      </c>
      <c r="M19" s="1">
        <v>872</v>
      </c>
      <c r="N19" s="1">
        <v>122</v>
      </c>
      <c r="O19" s="1">
        <v>26</v>
      </c>
      <c r="P19" s="1">
        <v>0</v>
      </c>
      <c r="Q19" s="16">
        <f t="shared" si="2"/>
        <v>10</v>
      </c>
      <c r="R19" s="1"/>
      <c r="S19" s="72">
        <f t="shared" si="0"/>
        <v>0</v>
      </c>
      <c r="T19" s="62">
        <f t="shared" si="1"/>
        <v>1.8987341772151899E-2</v>
      </c>
    </row>
    <row r="20" spans="1:2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79">
        <v>27</v>
      </c>
      <c r="G20" s="1"/>
      <c r="H20" s="1"/>
      <c r="I20" s="1"/>
      <c r="J20" s="1"/>
      <c r="K20" s="21"/>
      <c r="L20" s="21">
        <v>1028</v>
      </c>
      <c r="M20" s="1">
        <v>1028</v>
      </c>
      <c r="N20" s="1">
        <v>167</v>
      </c>
      <c r="O20" s="1">
        <v>38</v>
      </c>
      <c r="P20" s="1">
        <v>0</v>
      </c>
      <c r="Q20" s="16">
        <f t="shared" si="2"/>
        <v>20</v>
      </c>
      <c r="R20" s="1"/>
      <c r="S20" s="72">
        <f t="shared" si="0"/>
        <v>0</v>
      </c>
      <c r="T20" s="62">
        <f t="shared" si="1"/>
        <v>1.7777777777777778E-2</v>
      </c>
    </row>
    <row r="21" spans="1:2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79">
        <v>51</v>
      </c>
      <c r="G21" s="1"/>
      <c r="H21" s="1"/>
      <c r="I21" s="1"/>
      <c r="J21" s="1"/>
      <c r="K21" s="21"/>
      <c r="L21" s="21">
        <v>1271</v>
      </c>
      <c r="M21" s="1">
        <v>1271</v>
      </c>
      <c r="N21" s="1">
        <v>189</v>
      </c>
      <c r="O21" s="1">
        <v>59</v>
      </c>
      <c r="P21" s="1">
        <v>1</v>
      </c>
      <c r="Q21" s="16">
        <f t="shared" si="2"/>
        <v>17</v>
      </c>
      <c r="R21" s="1"/>
      <c r="S21" s="72">
        <f t="shared" si="0"/>
        <v>0</v>
      </c>
      <c r="T21" s="62">
        <f t="shared" si="1"/>
        <v>1.5037593984962405E-2</v>
      </c>
    </row>
    <row r="22" spans="1:20" x14ac:dyDescent="0.25">
      <c r="A22" s="2">
        <v>43913</v>
      </c>
      <c r="B22" s="154">
        <v>36</v>
      </c>
      <c r="C22" s="154">
        <v>301</v>
      </c>
      <c r="D22" s="154">
        <v>0</v>
      </c>
      <c r="E22" s="1">
        <v>4</v>
      </c>
      <c r="F22" s="79">
        <v>52</v>
      </c>
      <c r="G22" s="1"/>
      <c r="H22" s="1"/>
      <c r="I22" s="1"/>
      <c r="J22" s="1"/>
      <c r="K22" s="21"/>
      <c r="L22" s="21">
        <v>1453</v>
      </c>
      <c r="M22" s="1">
        <v>1453</v>
      </c>
      <c r="N22" s="1">
        <v>206</v>
      </c>
      <c r="O22" s="1">
        <v>64</v>
      </c>
      <c r="P22" s="1">
        <v>1</v>
      </c>
      <c r="Q22" s="16">
        <f t="shared" si="2"/>
        <v>30</v>
      </c>
      <c r="R22" s="1"/>
      <c r="S22" s="72">
        <f t="shared" si="0"/>
        <v>0</v>
      </c>
      <c r="T22" s="62">
        <f t="shared" si="1"/>
        <v>1.3289036544850499E-2</v>
      </c>
    </row>
    <row r="23" spans="1:20" x14ac:dyDescent="0.25">
      <c r="A23" s="2">
        <v>43914</v>
      </c>
      <c r="B23" s="1">
        <v>86</v>
      </c>
      <c r="C23" s="1">
        <v>387</v>
      </c>
      <c r="D23" s="154">
        <v>2</v>
      </c>
      <c r="E23" s="1">
        <v>6</v>
      </c>
      <c r="F23" s="79">
        <v>63</v>
      </c>
      <c r="G23" s="1"/>
      <c r="H23" s="1"/>
      <c r="I23" s="1"/>
      <c r="J23" s="1"/>
      <c r="K23" s="21"/>
      <c r="L23" s="21">
        <v>1453</v>
      </c>
      <c r="M23" s="1">
        <v>1453</v>
      </c>
      <c r="N23" s="1">
        <v>247</v>
      </c>
      <c r="O23" s="1">
        <v>84</v>
      </c>
      <c r="P23" s="1">
        <v>1</v>
      </c>
      <c r="Q23" s="16">
        <f t="shared" si="2"/>
        <v>55</v>
      </c>
      <c r="R23" s="1"/>
      <c r="S23" s="72">
        <f t="shared" si="0"/>
        <v>0</v>
      </c>
      <c r="T23" s="62">
        <f t="shared" si="1"/>
        <v>1.5503875968992248E-2</v>
      </c>
    </row>
    <row r="24" spans="1:2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79">
        <v>72</v>
      </c>
      <c r="G24" s="1"/>
      <c r="H24" s="1"/>
      <c r="I24" s="1"/>
      <c r="J24" s="1"/>
      <c r="K24" s="21"/>
      <c r="L24" s="21">
        <v>1946</v>
      </c>
      <c r="M24" s="1">
        <v>1946</v>
      </c>
      <c r="N24" s="1">
        <v>250</v>
      </c>
      <c r="O24" s="1">
        <v>102</v>
      </c>
      <c r="P24" s="1">
        <v>1</v>
      </c>
      <c r="Q24" s="16">
        <f t="shared" si="2"/>
        <v>150</v>
      </c>
      <c r="R24" s="1"/>
      <c r="S24" s="72">
        <f t="shared" si="0"/>
        <v>0</v>
      </c>
      <c r="T24" s="62">
        <f t="shared" si="1"/>
        <v>1.5904572564612324E-2</v>
      </c>
    </row>
    <row r="25" spans="1:2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79">
        <v>75</v>
      </c>
      <c r="G25" s="1">
        <v>25</v>
      </c>
      <c r="H25" s="1"/>
      <c r="I25" s="1"/>
      <c r="J25" s="1"/>
      <c r="K25" s="21"/>
      <c r="L25" s="21">
        <v>2558</v>
      </c>
      <c r="M25" s="1">
        <v>2558</v>
      </c>
      <c r="N25" s="1">
        <v>287</v>
      </c>
      <c r="O25" s="1">
        <v>126</v>
      </c>
      <c r="P25" s="1">
        <v>1</v>
      </c>
      <c r="Q25" s="16">
        <f t="shared" si="2"/>
        <v>175</v>
      </c>
      <c r="R25" s="1"/>
      <c r="S25" s="72">
        <f t="shared" si="0"/>
        <v>4.9800796812749001E-2</v>
      </c>
      <c r="T25" s="62">
        <f t="shared" si="1"/>
        <v>2.037351443123939E-2</v>
      </c>
    </row>
    <row r="26" spans="1:2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79">
        <v>80</v>
      </c>
      <c r="G26" s="1"/>
      <c r="H26" s="1"/>
      <c r="I26" s="1"/>
      <c r="J26" s="1"/>
      <c r="K26" s="21"/>
      <c r="L26" s="21">
        <v>2817</v>
      </c>
      <c r="M26" s="1">
        <v>2817</v>
      </c>
      <c r="N26" s="1">
        <v>387</v>
      </c>
      <c r="O26" s="1">
        <v>167</v>
      </c>
      <c r="P26" s="1">
        <v>1</v>
      </c>
      <c r="Q26" s="16">
        <f t="shared" si="2"/>
        <v>135</v>
      </c>
      <c r="R26" s="1"/>
      <c r="S26" s="72">
        <f t="shared" si="0"/>
        <v>0</v>
      </c>
      <c r="T26" s="62">
        <f t="shared" si="1"/>
        <v>2.4637681159420291E-2</v>
      </c>
    </row>
    <row r="27" spans="1:2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79">
        <v>91</v>
      </c>
      <c r="G27" s="1">
        <v>44</v>
      </c>
      <c r="H27" s="1"/>
      <c r="I27" s="1"/>
      <c r="J27" s="1"/>
      <c r="K27" s="21"/>
      <c r="L27" s="21">
        <v>3215</v>
      </c>
      <c r="M27" s="1">
        <v>3215</v>
      </c>
      <c r="N27" s="1">
        <v>408</v>
      </c>
      <c r="O27" s="1">
        <v>185</v>
      </c>
      <c r="P27" s="1">
        <v>1</v>
      </c>
      <c r="Q27" s="16">
        <f t="shared" si="2"/>
        <v>151</v>
      </c>
      <c r="R27" s="1"/>
      <c r="S27" s="72">
        <f t="shared" si="0"/>
        <v>6.9291338582677164E-2</v>
      </c>
      <c r="T27" s="62">
        <f t="shared" si="1"/>
        <v>2.5503355704697986E-2</v>
      </c>
    </row>
    <row r="28" spans="1:2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79">
        <v>228</v>
      </c>
      <c r="G28" s="1">
        <v>53</v>
      </c>
      <c r="H28" s="1"/>
      <c r="I28" s="1"/>
      <c r="J28" s="1"/>
      <c r="K28" s="21"/>
      <c r="L28" s="21">
        <v>3580</v>
      </c>
      <c r="M28" s="1">
        <v>3580</v>
      </c>
      <c r="N28" s="1">
        <v>442</v>
      </c>
      <c r="O28" s="1">
        <v>207</v>
      </c>
      <c r="P28" s="1">
        <v>1</v>
      </c>
      <c r="Q28" s="16">
        <f t="shared" si="2"/>
        <v>170</v>
      </c>
      <c r="R28" s="1">
        <f t="shared" ref="R28:R91" si="3">AVERAGE(B15:B28)/AVERAGE(B1:B14)</f>
        <v>12.718112244897959</v>
      </c>
      <c r="S28" s="72">
        <f t="shared" si="0"/>
        <v>9.2657342657342656E-2</v>
      </c>
      <c r="T28" s="62">
        <f t="shared" si="1"/>
        <v>2.4390243902439025E-2</v>
      </c>
    </row>
    <row r="29" spans="1:2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79">
        <v>240</v>
      </c>
      <c r="G29" s="1">
        <v>55</v>
      </c>
      <c r="H29" s="1"/>
      <c r="I29" s="1"/>
      <c r="J29" s="1"/>
      <c r="K29" s="21"/>
      <c r="L29" s="21">
        <v>4065</v>
      </c>
      <c r="M29" s="1">
        <v>4065</v>
      </c>
      <c r="N29" s="1">
        <v>489</v>
      </c>
      <c r="O29" s="1">
        <v>207</v>
      </c>
      <c r="P29" s="1">
        <v>1</v>
      </c>
      <c r="Q29" s="16">
        <f t="shared" si="2"/>
        <v>269</v>
      </c>
      <c r="R29" s="1">
        <f t="shared" si="3"/>
        <v>13.907692307692306</v>
      </c>
      <c r="S29" s="72">
        <f t="shared" si="0"/>
        <v>7.8459343794579167E-2</v>
      </c>
      <c r="T29" s="62">
        <f t="shared" si="1"/>
        <v>2.5879917184265012E-2</v>
      </c>
    </row>
    <row r="30" spans="1:2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79">
        <v>248</v>
      </c>
      <c r="G30" s="1">
        <v>55</v>
      </c>
      <c r="H30" s="1"/>
      <c r="I30" s="1"/>
      <c r="J30" s="1"/>
      <c r="K30" s="21"/>
      <c r="L30" s="21">
        <v>4597</v>
      </c>
      <c r="M30" s="1">
        <v>4597</v>
      </c>
      <c r="N30" s="1">
        <v>529</v>
      </c>
      <c r="O30" s="1">
        <v>295</v>
      </c>
      <c r="P30" s="1">
        <v>1</v>
      </c>
      <c r="Q30" s="16">
        <f t="shared" si="2"/>
        <v>229</v>
      </c>
      <c r="R30" s="1">
        <f t="shared" si="3"/>
        <v>12.714285714285715</v>
      </c>
      <c r="S30" s="72">
        <f t="shared" si="0"/>
        <v>7.0694087403598976E-2</v>
      </c>
      <c r="T30" s="62">
        <f t="shared" si="1"/>
        <v>2.6565464895635674E-2</v>
      </c>
    </row>
    <row r="31" spans="1:2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79">
        <v>256</v>
      </c>
      <c r="G31" s="1">
        <v>72</v>
      </c>
      <c r="H31" s="1"/>
      <c r="I31" s="1"/>
      <c r="J31" s="1"/>
      <c r="K31" s="21"/>
      <c r="L31" s="21">
        <v>5144</v>
      </c>
      <c r="M31" s="1">
        <v>5144</v>
      </c>
      <c r="N31" s="1">
        <v>580</v>
      </c>
      <c r="O31" s="1">
        <v>349</v>
      </c>
      <c r="P31" s="1">
        <v>1</v>
      </c>
      <c r="Q31" s="16">
        <f t="shared" si="2"/>
        <v>203</v>
      </c>
      <c r="R31" s="1">
        <f t="shared" si="3"/>
        <v>10.822916666666666</v>
      </c>
      <c r="S31" s="72">
        <f t="shared" si="0"/>
        <v>8.5308056872037921E-2</v>
      </c>
      <c r="T31" s="62">
        <f t="shared" si="1"/>
        <v>2.9126213592233011E-2</v>
      </c>
    </row>
    <row r="32" spans="1:2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79">
        <v>266</v>
      </c>
      <c r="G32" s="1">
        <v>82</v>
      </c>
      <c r="H32" s="1"/>
      <c r="I32" s="1"/>
      <c r="J32" s="1"/>
      <c r="K32" s="21"/>
      <c r="L32" s="21">
        <v>6120</v>
      </c>
      <c r="M32" s="1">
        <v>6120</v>
      </c>
      <c r="N32" s="1">
        <v>622</v>
      </c>
      <c r="O32" s="1">
        <v>397</v>
      </c>
      <c r="P32" s="1">
        <v>103</v>
      </c>
      <c r="Q32" s="16">
        <f t="shared" si="2"/>
        <v>143</v>
      </c>
      <c r="R32" s="1">
        <f t="shared" si="3"/>
        <v>9.0476190476190474</v>
      </c>
      <c r="S32" s="72">
        <f t="shared" si="0"/>
        <v>8.5239085239085244E-2</v>
      </c>
      <c r="T32" s="62">
        <f t="shared" si="1"/>
        <v>2.9249011857707511E-2</v>
      </c>
    </row>
    <row r="33" spans="1:2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79">
        <v>279</v>
      </c>
      <c r="G33" s="1">
        <v>86</v>
      </c>
      <c r="H33" s="1"/>
      <c r="I33" s="1"/>
      <c r="J33" s="1"/>
      <c r="K33" s="21"/>
      <c r="L33" s="21">
        <v>7135</v>
      </c>
      <c r="M33" s="1">
        <v>7135</v>
      </c>
      <c r="N33" s="1">
        <v>656</v>
      </c>
      <c r="O33" s="1">
        <v>460</v>
      </c>
      <c r="P33" s="1">
        <v>113</v>
      </c>
      <c r="Q33" s="16">
        <f t="shared" si="2"/>
        <v>124</v>
      </c>
      <c r="R33" s="1">
        <f t="shared" si="3"/>
        <v>7.9866666666666672</v>
      </c>
      <c r="S33" s="72">
        <f t="shared" si="0"/>
        <v>8.3333333333333329E-2</v>
      </c>
      <c r="T33" s="62">
        <f t="shared" si="1"/>
        <v>3.1042128603104215E-2</v>
      </c>
    </row>
    <row r="34" spans="1:2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79">
        <v>280</v>
      </c>
      <c r="G34" s="1">
        <v>87</v>
      </c>
      <c r="H34" s="1"/>
      <c r="I34" s="1"/>
      <c r="J34" s="1"/>
      <c r="K34" s="21">
        <v>394</v>
      </c>
      <c r="L34" s="21">
        <v>7494</v>
      </c>
      <c r="M34" s="1">
        <v>7888</v>
      </c>
      <c r="N34" s="1">
        <v>674</v>
      </c>
      <c r="O34" s="1">
        <v>490</v>
      </c>
      <c r="P34" s="1">
        <v>119</v>
      </c>
      <c r="Q34" s="16">
        <f t="shared" si="2"/>
        <v>168</v>
      </c>
      <c r="R34" s="1">
        <f t="shared" si="3"/>
        <v>5.6898148148148149</v>
      </c>
      <c r="S34" s="72">
        <f t="shared" si="0"/>
        <v>7.7127659574468085E-2</v>
      </c>
      <c r="T34" s="62">
        <f t="shared" si="1"/>
        <v>2.9634734665747762E-2</v>
      </c>
    </row>
    <row r="35" spans="1:2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79">
        <v>325</v>
      </c>
      <c r="G35" s="1">
        <v>94</v>
      </c>
      <c r="H35" s="1"/>
      <c r="I35" s="1"/>
      <c r="J35" s="1"/>
      <c r="K35" s="21">
        <v>383</v>
      </c>
      <c r="L35" s="21">
        <v>8125</v>
      </c>
      <c r="M35" s="1">
        <v>8508</v>
      </c>
      <c r="N35" s="1">
        <v>695</v>
      </c>
      <c r="O35" s="1">
        <v>536</v>
      </c>
      <c r="P35" s="1">
        <v>148</v>
      </c>
      <c r="Q35" s="16">
        <f t="shared" si="2"/>
        <v>175</v>
      </c>
      <c r="R35" s="1">
        <f t="shared" si="3"/>
        <v>5.0826771653543306</v>
      </c>
      <c r="S35" s="72">
        <f t="shared" si="0"/>
        <v>7.945900253592561E-2</v>
      </c>
      <c r="T35" s="62">
        <f t="shared" si="1"/>
        <v>2.9601029601029602E-2</v>
      </c>
    </row>
    <row r="36" spans="1:2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79">
        <v>338</v>
      </c>
      <c r="G36" s="1">
        <v>96</v>
      </c>
      <c r="H36" s="1"/>
      <c r="I36" s="1"/>
      <c r="J36" s="1"/>
      <c r="K36" s="21">
        <v>458</v>
      </c>
      <c r="L36" s="21">
        <v>8707</v>
      </c>
      <c r="M36" s="1">
        <v>9165</v>
      </c>
      <c r="N36" s="1">
        <v>718</v>
      </c>
      <c r="O36" s="1">
        <v>563</v>
      </c>
      <c r="P36" s="1">
        <v>175</v>
      </c>
      <c r="Q36" s="16">
        <f t="shared" si="2"/>
        <v>172</v>
      </c>
      <c r="R36" s="1">
        <f t="shared" si="3"/>
        <v>4.6631578947368419</v>
      </c>
      <c r="S36" s="72">
        <f t="shared" si="0"/>
        <v>7.7607113985448672E-2</v>
      </c>
      <c r="T36" s="62">
        <f t="shared" si="1"/>
        <v>3.2555282555282554E-2</v>
      </c>
    </row>
    <row r="37" spans="1:2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79">
        <v>358</v>
      </c>
      <c r="G37" s="1">
        <v>98</v>
      </c>
      <c r="H37" s="1">
        <v>1552</v>
      </c>
      <c r="I37" s="1"/>
      <c r="J37" s="1"/>
      <c r="K37" s="21">
        <v>418</v>
      </c>
      <c r="L37" s="21">
        <v>10020</v>
      </c>
      <c r="M37" s="1">
        <v>10438</v>
      </c>
      <c r="N37" s="1">
        <v>738</v>
      </c>
      <c r="O37" s="1">
        <v>588</v>
      </c>
      <c r="P37" s="1">
        <v>205</v>
      </c>
      <c r="Q37" s="16">
        <f t="shared" si="2"/>
        <v>184</v>
      </c>
      <c r="R37" s="1">
        <f t="shared" si="3"/>
        <v>3.6043360433604335</v>
      </c>
      <c r="S37" s="72">
        <f t="shared" si="0"/>
        <v>7.5558982266769464E-2</v>
      </c>
      <c r="T37" s="62">
        <f t="shared" si="1"/>
        <v>3.4985422740524783E-2</v>
      </c>
    </row>
    <row r="38" spans="1:2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79">
        <v>365</v>
      </c>
      <c r="G38" s="1">
        <v>98</v>
      </c>
      <c r="H38" s="1">
        <v>1520</v>
      </c>
      <c r="I38" s="1"/>
      <c r="J38" s="1"/>
      <c r="K38" s="21">
        <v>450</v>
      </c>
      <c r="L38" s="21">
        <v>11385</v>
      </c>
      <c r="M38" s="1">
        <v>11835</v>
      </c>
      <c r="N38" s="1">
        <v>767</v>
      </c>
      <c r="O38" s="1">
        <v>618</v>
      </c>
      <c r="P38" s="1">
        <v>224</v>
      </c>
      <c r="Q38" s="16">
        <f t="shared" si="2"/>
        <v>186</v>
      </c>
      <c r="R38" s="1">
        <f t="shared" si="3"/>
        <v>2.6714876033057853</v>
      </c>
      <c r="S38" s="72">
        <f t="shared" si="0"/>
        <v>7.179487179487179E-2</v>
      </c>
      <c r="T38" s="62">
        <f t="shared" si="1"/>
        <v>3.6211699164345405E-2</v>
      </c>
    </row>
    <row r="39" spans="1:2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79">
        <v>375</v>
      </c>
      <c r="G39" s="1">
        <v>98</v>
      </c>
      <c r="H39" s="1">
        <v>1529</v>
      </c>
      <c r="I39" s="1">
        <v>16379</v>
      </c>
      <c r="J39" s="1"/>
      <c r="K39" s="21"/>
      <c r="L39" s="21"/>
      <c r="M39" s="1">
        <v>12983</v>
      </c>
      <c r="N39" s="1">
        <v>785</v>
      </c>
      <c r="O39" s="1">
        <v>641</v>
      </c>
      <c r="P39" s="1">
        <v>261</v>
      </c>
      <c r="Q39" s="16">
        <f t="shared" si="2"/>
        <v>207</v>
      </c>
      <c r="R39" s="1">
        <f t="shared" si="3"/>
        <v>2.3262032085561497</v>
      </c>
      <c r="S39" s="72">
        <f t="shared" si="0"/>
        <v>6.805555555555555E-2</v>
      </c>
      <c r="T39" s="62">
        <f t="shared" si="1"/>
        <v>4.171066525871172E-2</v>
      </c>
    </row>
    <row r="40" spans="1:2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79">
        <v>440</v>
      </c>
      <c r="G40" s="1">
        <v>115</v>
      </c>
      <c r="H40" s="1">
        <v>1648</v>
      </c>
      <c r="I40" s="1">
        <v>18027</v>
      </c>
      <c r="J40" s="1"/>
      <c r="K40" s="21">
        <v>566</v>
      </c>
      <c r="L40" s="21">
        <v>13584</v>
      </c>
      <c r="M40" s="1">
        <v>14150</v>
      </c>
      <c r="N40" s="1">
        <v>790</v>
      </c>
      <c r="O40" s="1">
        <v>672</v>
      </c>
      <c r="P40" s="1">
        <v>290</v>
      </c>
      <c r="Q40" s="16">
        <f t="shared" si="2"/>
        <v>223</v>
      </c>
      <c r="R40" s="1">
        <f t="shared" si="3"/>
        <v>1.9499241274658576</v>
      </c>
      <c r="S40" s="72">
        <f t="shared" si="0"/>
        <v>7.9146593255333797E-2</v>
      </c>
      <c r="T40" s="62">
        <f t="shared" si="1"/>
        <v>4.1518987341772152E-2</v>
      </c>
    </row>
    <row r="41" spans="1:2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79">
        <v>468</v>
      </c>
      <c r="G41" s="1">
        <v>83</v>
      </c>
      <c r="H41" s="1">
        <v>1731</v>
      </c>
      <c r="I41" s="1">
        <v>19758</v>
      </c>
      <c r="J41" s="1"/>
      <c r="K41" s="21">
        <v>464</v>
      </c>
      <c r="L41" s="21">
        <v>15016</v>
      </c>
      <c r="M41" s="1">
        <v>15480</v>
      </c>
      <c r="N41" s="1">
        <v>816</v>
      </c>
      <c r="O41" s="1">
        <v>712</v>
      </c>
      <c r="P41" s="1">
        <v>304</v>
      </c>
      <c r="Q41" s="16">
        <f t="shared" si="2"/>
        <v>310</v>
      </c>
      <c r="R41" s="1">
        <f t="shared" si="3"/>
        <v>1.9871977240398293</v>
      </c>
      <c r="S41" s="72">
        <f t="shared" si="0"/>
        <v>5.2365930599369087E-2</v>
      </c>
      <c r="T41" s="62">
        <f t="shared" si="1"/>
        <v>4.1549953314659195E-2</v>
      </c>
    </row>
    <row r="42" spans="1:2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79">
        <v>515</v>
      </c>
      <c r="G42" s="1">
        <v>113</v>
      </c>
      <c r="H42" s="1">
        <v>1435</v>
      </c>
      <c r="I42" s="1">
        <v>21193</v>
      </c>
      <c r="J42" s="1"/>
      <c r="K42" s="21">
        <v>477</v>
      </c>
      <c r="L42" s="21">
        <v>15939</v>
      </c>
      <c r="M42" s="1">
        <v>16416</v>
      </c>
      <c r="N42" s="1">
        <v>821</v>
      </c>
      <c r="O42" s="1">
        <v>766</v>
      </c>
      <c r="P42" s="1">
        <v>318</v>
      </c>
      <c r="Q42" s="16">
        <f t="shared" si="2"/>
        <v>303</v>
      </c>
      <c r="R42" s="1">
        <f t="shared" si="3"/>
        <v>1.8096479791395046</v>
      </c>
      <c r="S42" s="72">
        <f t="shared" si="0"/>
        <v>7.07133917396746E-2</v>
      </c>
      <c r="T42" s="62">
        <f t="shared" si="1"/>
        <v>4.3025362318840576E-2</v>
      </c>
    </row>
    <row r="43" spans="1:2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79">
        <v>559</v>
      </c>
      <c r="G43" s="1">
        <v>116</v>
      </c>
      <c r="H43" s="1">
        <v>1612</v>
      </c>
      <c r="I43" s="1">
        <v>22805</v>
      </c>
      <c r="J43" s="1"/>
      <c r="K43" s="21">
        <v>479</v>
      </c>
      <c r="L43" s="21">
        <v>17245</v>
      </c>
      <c r="M43" s="1">
        <v>17724</v>
      </c>
      <c r="N43" s="1">
        <v>830</v>
      </c>
      <c r="O43" s="1">
        <v>790</v>
      </c>
      <c r="P43" s="1">
        <v>354</v>
      </c>
      <c r="Q43" s="16">
        <f t="shared" si="2"/>
        <v>303</v>
      </c>
      <c r="R43" s="1">
        <f t="shared" si="3"/>
        <v>1.4502212389380531</v>
      </c>
      <c r="S43" s="72">
        <f t="shared" si="0"/>
        <v>7.160493827160494E-2</v>
      </c>
      <c r="T43" s="62">
        <f t="shared" si="1"/>
        <v>4.3039086517347384E-2</v>
      </c>
    </row>
    <row r="44" spans="1:2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79">
        <v>596</v>
      </c>
      <c r="G44" s="1">
        <v>117</v>
      </c>
      <c r="H44" s="1">
        <v>1569</v>
      </c>
      <c r="I44" s="1">
        <v>24374</v>
      </c>
      <c r="J44" s="1"/>
      <c r="K44" s="21">
        <v>486</v>
      </c>
      <c r="L44" s="21">
        <v>18415</v>
      </c>
      <c r="M44" s="1">
        <v>18901</v>
      </c>
      <c r="N44" s="1">
        <v>833</v>
      </c>
      <c r="O44" s="1">
        <v>857</v>
      </c>
      <c r="P44" s="1">
        <v>393</v>
      </c>
      <c r="Q44" s="16">
        <f t="shared" si="2"/>
        <v>360</v>
      </c>
      <c r="R44" s="1">
        <f t="shared" si="3"/>
        <v>1.4187946884576097</v>
      </c>
      <c r="S44" s="72">
        <f t="shared" si="0"/>
        <v>6.7164179104477612E-2</v>
      </c>
      <c r="T44" s="62">
        <f t="shared" si="1"/>
        <v>4.2979942693409739E-2</v>
      </c>
    </row>
    <row r="45" spans="1:2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79">
        <v>631</v>
      </c>
      <c r="G45" s="1">
        <v>121</v>
      </c>
      <c r="H45" s="1">
        <v>2083</v>
      </c>
      <c r="I45" s="1">
        <v>26457</v>
      </c>
      <c r="J45" s="1"/>
      <c r="K45" s="21">
        <v>497</v>
      </c>
      <c r="L45" s="21">
        <v>20148</v>
      </c>
      <c r="M45" s="1">
        <v>20645</v>
      </c>
      <c r="N45" s="1">
        <v>840</v>
      </c>
      <c r="O45" s="1">
        <v>903</v>
      </c>
      <c r="P45" s="1">
        <v>425</v>
      </c>
      <c r="Q45" s="16">
        <f t="shared" si="2"/>
        <v>403</v>
      </c>
      <c r="R45" s="1">
        <f t="shared" si="3"/>
        <v>1.3840230991337825</v>
      </c>
      <c r="S45" s="72">
        <f t="shared" si="0"/>
        <v>6.6192560175054704E-2</v>
      </c>
      <c r="T45" s="62">
        <f t="shared" si="1"/>
        <v>4.3562816024893036E-2</v>
      </c>
    </row>
    <row r="46" spans="1:2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79">
        <v>666</v>
      </c>
      <c r="G46" s="1">
        <v>126</v>
      </c>
      <c r="H46" s="1">
        <v>2193</v>
      </c>
      <c r="I46" s="1">
        <v>28650</v>
      </c>
      <c r="J46" s="1"/>
      <c r="K46" s="21">
        <v>508</v>
      </c>
      <c r="L46" s="21">
        <v>21802</v>
      </c>
      <c r="M46" s="1">
        <v>22310</v>
      </c>
      <c r="N46" s="1">
        <v>845</v>
      </c>
      <c r="O46" s="1">
        <v>951</v>
      </c>
      <c r="P46" s="1">
        <v>448</v>
      </c>
      <c r="Q46" s="16">
        <f t="shared" si="2"/>
        <v>425</v>
      </c>
      <c r="R46" s="1">
        <f t="shared" si="3"/>
        <v>1.2315789473684211</v>
      </c>
      <c r="S46" s="72">
        <f t="shared" si="0"/>
        <v>6.6985645933014357E-2</v>
      </c>
      <c r="T46" s="62">
        <f t="shared" si="1"/>
        <v>4.5710003746721621E-2</v>
      </c>
    </row>
    <row r="47" spans="1:2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79">
        <v>685</v>
      </c>
      <c r="G47" s="1">
        <v>127</v>
      </c>
      <c r="H47" s="1">
        <v>2292</v>
      </c>
      <c r="I47" s="1">
        <v>30942</v>
      </c>
      <c r="J47" s="1"/>
      <c r="K47" s="21">
        <v>505</v>
      </c>
      <c r="L47" s="21">
        <v>23291</v>
      </c>
      <c r="M47" s="1">
        <v>23796</v>
      </c>
      <c r="N47" s="1">
        <v>851</v>
      </c>
      <c r="O47" s="1">
        <v>997</v>
      </c>
      <c r="P47" s="1">
        <v>474</v>
      </c>
      <c r="Q47" s="16">
        <f t="shared" si="2"/>
        <v>436</v>
      </c>
      <c r="R47" s="1">
        <f t="shared" si="3"/>
        <v>1.172787979966611</v>
      </c>
      <c r="S47" s="72">
        <f t="shared" si="0"/>
        <v>6.5329218106995879E-2</v>
      </c>
      <c r="T47" s="62">
        <f t="shared" si="1"/>
        <v>4.6773023930384336E-2</v>
      </c>
    </row>
    <row r="48" spans="1:2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79">
        <v>709</v>
      </c>
      <c r="G48" s="1">
        <v>123</v>
      </c>
      <c r="H48" s="1">
        <v>1770</v>
      </c>
      <c r="I48" s="1">
        <v>32712</v>
      </c>
      <c r="J48" s="1"/>
      <c r="K48" s="21">
        <v>503</v>
      </c>
      <c r="L48" s="21">
        <v>24756</v>
      </c>
      <c r="M48" s="1">
        <v>25259</v>
      </c>
      <c r="N48" s="1">
        <v>856</v>
      </c>
      <c r="O48" s="1">
        <v>1184</v>
      </c>
      <c r="P48" s="1">
        <v>496</v>
      </c>
      <c r="Q48" s="16">
        <f t="shared" si="2"/>
        <v>303</v>
      </c>
      <c r="R48" s="1">
        <f t="shared" si="3"/>
        <v>1.1293734743694059</v>
      </c>
      <c r="S48" s="72">
        <f t="shared" si="0"/>
        <v>6.1561561561561562E-2</v>
      </c>
      <c r="T48" s="62">
        <f t="shared" si="1"/>
        <v>4.6495244804508631E-2</v>
      </c>
    </row>
    <row r="49" spans="1:2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79">
        <v>737</v>
      </c>
      <c r="G49" s="1">
        <v>126</v>
      </c>
      <c r="H49" s="1">
        <v>1856</v>
      </c>
      <c r="I49" s="1">
        <v>34568</v>
      </c>
      <c r="J49" s="1"/>
      <c r="K49" s="21">
        <v>536</v>
      </c>
      <c r="L49" s="21">
        <v>26122</v>
      </c>
      <c r="M49" s="1">
        <v>26658</v>
      </c>
      <c r="N49" s="1">
        <v>858</v>
      </c>
      <c r="O49" s="1">
        <v>1235</v>
      </c>
      <c r="P49" s="1">
        <v>538</v>
      </c>
      <c r="Q49" s="16">
        <f t="shared" si="2"/>
        <v>310</v>
      </c>
      <c r="R49" s="1">
        <f t="shared" si="3"/>
        <v>1.0743609604957398</v>
      </c>
      <c r="S49" s="72">
        <f t="shared" si="0"/>
        <v>6.0869565217391307E-2</v>
      </c>
      <c r="T49" s="62">
        <f t="shared" si="1"/>
        <v>4.5562733764025844E-2</v>
      </c>
    </row>
    <row r="50" spans="1:2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79">
        <v>840</v>
      </c>
      <c r="G50" s="1">
        <v>129</v>
      </c>
      <c r="H50" s="1">
        <v>2043</v>
      </c>
      <c r="I50" s="1">
        <v>36611</v>
      </c>
      <c r="J50" s="1"/>
      <c r="K50" s="21">
        <v>566</v>
      </c>
      <c r="L50" s="21">
        <v>27732</v>
      </c>
      <c r="M50" s="1">
        <v>28298</v>
      </c>
      <c r="N50" s="1">
        <v>863</v>
      </c>
      <c r="O50" s="1">
        <v>1293</v>
      </c>
      <c r="P50" s="1">
        <v>576</v>
      </c>
      <c r="Q50" s="16">
        <f t="shared" si="2"/>
        <v>299</v>
      </c>
      <c r="R50" s="1">
        <f t="shared" si="3"/>
        <v>1.0556809631301729</v>
      </c>
      <c r="S50" s="72">
        <f t="shared" si="0"/>
        <v>6.2957540263543194E-2</v>
      </c>
      <c r="T50" s="62">
        <f t="shared" si="1"/>
        <v>4.6849224678323982E-2</v>
      </c>
    </row>
    <row r="51" spans="1:2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79">
        <v>872</v>
      </c>
      <c r="G51" s="1">
        <v>131</v>
      </c>
      <c r="H51" s="1">
        <v>2617</v>
      </c>
      <c r="I51" s="1">
        <v>39228</v>
      </c>
      <c r="J51" s="1"/>
      <c r="K51" s="21">
        <v>533</v>
      </c>
      <c r="L51" s="21">
        <v>29829</v>
      </c>
      <c r="M51" s="1">
        <v>30362</v>
      </c>
      <c r="N51" s="1">
        <v>866</v>
      </c>
      <c r="O51" s="1">
        <v>1346</v>
      </c>
      <c r="P51" s="1">
        <v>618</v>
      </c>
      <c r="Q51" s="16">
        <f t="shared" si="2"/>
        <v>314</v>
      </c>
      <c r="R51" s="1">
        <f t="shared" si="3"/>
        <v>1.0744360902255639</v>
      </c>
      <c r="S51" s="72">
        <f t="shared" si="0"/>
        <v>6.1763319189061763E-2</v>
      </c>
      <c r="T51" s="62">
        <f t="shared" si="1"/>
        <v>4.8027989821882951E-2</v>
      </c>
    </row>
    <row r="52" spans="1:2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79">
        <v>919</v>
      </c>
      <c r="G52" s="1">
        <v>136</v>
      </c>
      <c r="H52" s="1">
        <v>2558</v>
      </c>
      <c r="I52" s="1">
        <v>41786</v>
      </c>
      <c r="J52" s="1"/>
      <c r="K52" s="21">
        <v>569</v>
      </c>
      <c r="L52" s="21">
        <v>31845</v>
      </c>
      <c r="M52" s="1">
        <v>32414</v>
      </c>
      <c r="N52" s="1">
        <v>870</v>
      </c>
      <c r="O52" s="1">
        <v>1408</v>
      </c>
      <c r="P52" s="1">
        <v>669</v>
      </c>
      <c r="Q52" s="16">
        <f t="shared" si="2"/>
        <v>341</v>
      </c>
      <c r="R52" s="1">
        <f t="shared" si="3"/>
        <v>1.1546790409899457</v>
      </c>
      <c r="S52" s="72">
        <f t="shared" si="0"/>
        <v>6.1538461538461542E-2</v>
      </c>
      <c r="T52" s="62">
        <f t="shared" si="1"/>
        <v>4.8357664233576646E-2</v>
      </c>
    </row>
    <row r="53" spans="1:2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79">
        <v>976</v>
      </c>
      <c r="G53" s="1">
        <v>141</v>
      </c>
      <c r="H53" s="1">
        <v>2868</v>
      </c>
      <c r="I53" s="1">
        <v>44654</v>
      </c>
      <c r="J53" s="1"/>
      <c r="K53" s="21">
        <v>557</v>
      </c>
      <c r="L53" s="21">
        <v>33874</v>
      </c>
      <c r="M53" s="1">
        <v>34431</v>
      </c>
      <c r="N53" s="1">
        <v>875</v>
      </c>
      <c r="O53" s="1">
        <v>1490</v>
      </c>
      <c r="P53" s="1">
        <v>722</v>
      </c>
      <c r="Q53" s="16">
        <f t="shared" si="2"/>
        <v>348</v>
      </c>
      <c r="R53" s="1">
        <f t="shared" si="3"/>
        <v>1.1808429118773947</v>
      </c>
      <c r="S53" s="72">
        <f t="shared" si="0"/>
        <v>6.1464690496948561E-2</v>
      </c>
      <c r="T53" s="62">
        <f t="shared" si="1"/>
        <v>4.8034934497816595E-2</v>
      </c>
    </row>
    <row r="54" spans="1:2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79">
        <v>1030</v>
      </c>
      <c r="G54" s="1">
        <v>144</v>
      </c>
      <c r="H54" s="1">
        <v>2752</v>
      </c>
      <c r="I54" s="1">
        <v>47406</v>
      </c>
      <c r="J54" s="1"/>
      <c r="K54" s="21">
        <v>543</v>
      </c>
      <c r="L54" s="21">
        <v>36067</v>
      </c>
      <c r="M54" s="1">
        <v>36610</v>
      </c>
      <c r="N54" s="1">
        <v>887</v>
      </c>
      <c r="O54" s="1">
        <v>1562</v>
      </c>
      <c r="P54" s="1">
        <v>755</v>
      </c>
      <c r="Q54" s="16">
        <f t="shared" si="2"/>
        <v>403</v>
      </c>
      <c r="R54" s="1">
        <f t="shared" si="3"/>
        <v>1.2700389105058365</v>
      </c>
      <c r="S54" s="72">
        <f t="shared" si="0"/>
        <v>5.9975010412328195E-2</v>
      </c>
      <c r="T54" s="62">
        <f t="shared" si="1"/>
        <v>4.8794011644025505E-2</v>
      </c>
    </row>
    <row r="55" spans="1:2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79">
        <v>1107</v>
      </c>
      <c r="G55" s="1">
        <v>139</v>
      </c>
      <c r="H55" s="1">
        <v>2499</v>
      </c>
      <c r="I55" s="1">
        <v>49905</v>
      </c>
      <c r="J55" s="1"/>
      <c r="K55" s="21">
        <v>561</v>
      </c>
      <c r="L55" s="21">
        <v>37654</v>
      </c>
      <c r="M55" s="1">
        <v>38215</v>
      </c>
      <c r="N55" s="1">
        <v>888</v>
      </c>
      <c r="O55" s="1">
        <v>1641</v>
      </c>
      <c r="P55" s="1">
        <v>797</v>
      </c>
      <c r="Q55" s="16">
        <f t="shared" si="2"/>
        <v>454</v>
      </c>
      <c r="R55" s="1">
        <f t="shared" si="3"/>
        <v>1.1725125268432355</v>
      </c>
      <c r="S55" s="72">
        <f t="shared" si="0"/>
        <v>5.5868167202572344E-2</v>
      </c>
      <c r="T55" s="62">
        <f t="shared" si="1"/>
        <v>4.8941798941798939E-2</v>
      </c>
    </row>
    <row r="56" spans="1:2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79">
        <v>1140</v>
      </c>
      <c r="G56" s="1">
        <v>151</v>
      </c>
      <c r="H56" s="1">
        <v>1995</v>
      </c>
      <c r="I56" s="1">
        <v>51900</v>
      </c>
      <c r="J56" s="1"/>
      <c r="K56" s="21">
        <v>570</v>
      </c>
      <c r="L56" s="21">
        <v>39420</v>
      </c>
      <c r="M56" s="1">
        <v>39990</v>
      </c>
      <c r="N56" s="1">
        <v>900</v>
      </c>
      <c r="O56" s="1">
        <v>1684</v>
      </c>
      <c r="P56" s="1">
        <v>829</v>
      </c>
      <c r="Q56" s="16">
        <f t="shared" si="2"/>
        <v>479</v>
      </c>
      <c r="R56" s="1">
        <f t="shared" si="3"/>
        <v>1.2132564841498561</v>
      </c>
      <c r="S56" s="72">
        <f t="shared" si="0"/>
        <v>5.8984374999999999E-2</v>
      </c>
      <c r="T56" s="62">
        <f t="shared" si="1"/>
        <v>4.9331963001027747E-2</v>
      </c>
    </row>
    <row r="57" spans="1:2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79">
        <v>1162</v>
      </c>
      <c r="G57" s="1">
        <v>155</v>
      </c>
      <c r="H57" s="1">
        <v>1700</v>
      </c>
      <c r="I57" s="1">
        <v>53600</v>
      </c>
      <c r="J57" s="1"/>
      <c r="K57" s="21">
        <v>600</v>
      </c>
      <c r="L57" s="21">
        <v>40959</v>
      </c>
      <c r="M57" s="1">
        <v>41559</v>
      </c>
      <c r="N57" s="1">
        <v>905</v>
      </c>
      <c r="O57" s="1">
        <v>1725</v>
      </c>
      <c r="P57" s="1">
        <v>897</v>
      </c>
      <c r="Q57" s="16">
        <f t="shared" si="2"/>
        <v>476</v>
      </c>
      <c r="R57" s="1">
        <f t="shared" si="3"/>
        <v>1.3165522501906943</v>
      </c>
      <c r="S57" s="72">
        <f t="shared" si="0"/>
        <v>5.8623298033282902E-2</v>
      </c>
      <c r="T57" s="62">
        <f t="shared" si="1"/>
        <v>4.921309018236323E-2</v>
      </c>
    </row>
    <row r="58" spans="1:2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79">
        <v>1192</v>
      </c>
      <c r="G58" s="1">
        <v>154</v>
      </c>
      <c r="H58" s="1">
        <v>2458</v>
      </c>
      <c r="I58" s="1">
        <v>56058</v>
      </c>
      <c r="J58" s="1"/>
      <c r="K58" s="21">
        <v>612</v>
      </c>
      <c r="L58" s="21">
        <v>42710</v>
      </c>
      <c r="M58" s="1">
        <v>43322</v>
      </c>
      <c r="N58" s="1">
        <v>909</v>
      </c>
      <c r="O58" s="1">
        <v>1766</v>
      </c>
      <c r="P58" s="1">
        <v>984</v>
      </c>
      <c r="Q58" s="16">
        <f t="shared" si="2"/>
        <v>468</v>
      </c>
      <c r="R58" s="1">
        <f t="shared" si="3"/>
        <v>1.2123830093592514</v>
      </c>
      <c r="S58" s="72">
        <f t="shared" si="0"/>
        <v>5.6451612903225805E-2</v>
      </c>
      <c r="T58" s="62">
        <f t="shared" si="1"/>
        <v>5.0157499394233099E-2</v>
      </c>
    </row>
    <row r="59" spans="1:2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79">
        <v>1256</v>
      </c>
      <c r="G59" s="1">
        <v>157</v>
      </c>
      <c r="H59" s="1">
        <v>2627</v>
      </c>
      <c r="I59" s="1">
        <v>58685</v>
      </c>
      <c r="J59" s="1"/>
      <c r="K59" s="21">
        <v>618</v>
      </c>
      <c r="L59" s="21">
        <v>44828</v>
      </c>
      <c r="M59" s="1">
        <v>45446</v>
      </c>
      <c r="N59" s="1">
        <v>912</v>
      </c>
      <c r="O59" s="1">
        <v>1835</v>
      </c>
      <c r="P59" s="1">
        <v>1041</v>
      </c>
      <c r="Q59" s="16">
        <f t="shared" si="2"/>
        <v>497</v>
      </c>
      <c r="R59" s="1">
        <f t="shared" si="3"/>
        <v>1.1919332406119612</v>
      </c>
      <c r="S59" s="72">
        <f t="shared" si="0"/>
        <v>5.5772646536412077E-2</v>
      </c>
      <c r="T59" s="62">
        <f t="shared" si="1"/>
        <v>4.9941656942823806E-2</v>
      </c>
    </row>
    <row r="60" spans="1:2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79">
        <v>1292</v>
      </c>
      <c r="G60" s="1">
        <v>157</v>
      </c>
      <c r="H60" s="1">
        <v>2845</v>
      </c>
      <c r="I60" s="1">
        <v>61530</v>
      </c>
      <c r="J60" s="1"/>
      <c r="K60" s="21">
        <v>638</v>
      </c>
      <c r="L60" s="21">
        <v>46829</v>
      </c>
      <c r="M60" s="1">
        <v>47467</v>
      </c>
      <c r="N60" s="1">
        <v>915</v>
      </c>
      <c r="O60" s="1">
        <v>1904</v>
      </c>
      <c r="P60" s="1">
        <v>1149</v>
      </c>
      <c r="Q60" s="16">
        <f t="shared" si="2"/>
        <v>460</v>
      </c>
      <c r="R60" s="1">
        <f t="shared" si="3"/>
        <v>1.2528490028490027</v>
      </c>
      <c r="S60" s="72">
        <f t="shared" si="0"/>
        <v>5.3803975325565453E-2</v>
      </c>
      <c r="T60" s="62">
        <f t="shared" si="1"/>
        <v>4.9232158988256551E-2</v>
      </c>
    </row>
    <row r="61" spans="1:2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79">
        <v>1320</v>
      </c>
      <c r="G61" s="1">
        <v>164</v>
      </c>
      <c r="H61" s="1">
        <v>2336</v>
      </c>
      <c r="I61" s="1">
        <v>63866</v>
      </c>
      <c r="J61" s="1"/>
      <c r="K61" s="21">
        <v>656</v>
      </c>
      <c r="L61" s="21">
        <v>48591</v>
      </c>
      <c r="M61" s="1">
        <v>49247</v>
      </c>
      <c r="N61" s="1">
        <v>916</v>
      </c>
      <c r="O61" s="1">
        <v>1949</v>
      </c>
      <c r="P61" s="1">
        <v>1224</v>
      </c>
      <c r="Q61" s="16">
        <f t="shared" si="2"/>
        <v>443</v>
      </c>
      <c r="R61" s="1">
        <f t="shared" si="3"/>
        <v>1.2633451957295374</v>
      </c>
      <c r="S61" s="72">
        <f t="shared" si="0"/>
        <v>5.4904586541680615E-2</v>
      </c>
      <c r="T61" s="62">
        <f t="shared" si="1"/>
        <v>4.9646954986760812E-2</v>
      </c>
    </row>
    <row r="62" spans="1:2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79">
        <v>1354</v>
      </c>
      <c r="G62" s="1">
        <v>164</v>
      </c>
      <c r="H62" s="1">
        <v>1947</v>
      </c>
      <c r="I62" s="1">
        <v>65813</v>
      </c>
      <c r="J62" s="1"/>
      <c r="K62" s="21">
        <v>681</v>
      </c>
      <c r="L62" s="21">
        <v>50098</v>
      </c>
      <c r="M62" s="1">
        <v>50779</v>
      </c>
      <c r="N62" s="1">
        <v>917</v>
      </c>
      <c r="O62" s="1">
        <v>2012</v>
      </c>
      <c r="P62" s="1">
        <v>1267</v>
      </c>
      <c r="Q62" s="16">
        <f t="shared" si="2"/>
        <v>485</v>
      </c>
      <c r="R62" s="1">
        <f t="shared" si="3"/>
        <v>1.3278097982708934</v>
      </c>
      <c r="S62" s="72">
        <f t="shared" si="0"/>
        <v>5.307443365695793E-2</v>
      </c>
      <c r="T62" s="62">
        <f t="shared" si="1"/>
        <v>5.0630207220679339E-2</v>
      </c>
    </row>
    <row r="63" spans="1:2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79">
        <v>1442</v>
      </c>
      <c r="G63" s="1">
        <v>146</v>
      </c>
      <c r="H63" s="1">
        <v>1497</v>
      </c>
      <c r="I63" s="1">
        <v>67920</v>
      </c>
      <c r="J63" s="1"/>
      <c r="K63" s="21">
        <v>674</v>
      </c>
      <c r="L63" s="21">
        <v>51590</v>
      </c>
      <c r="M63" s="1">
        <v>52264</v>
      </c>
      <c r="N63" s="1">
        <v>920</v>
      </c>
      <c r="O63" s="1">
        <v>2076</v>
      </c>
      <c r="P63" s="1">
        <v>1314</v>
      </c>
      <c r="Q63" s="16">
        <f t="shared" si="2"/>
        <v>474</v>
      </c>
      <c r="R63" s="1">
        <f t="shared" si="3"/>
        <v>1.329488103821197</v>
      </c>
      <c r="S63" s="72">
        <f t="shared" si="0"/>
        <v>4.7157622739018086E-2</v>
      </c>
      <c r="T63" s="62">
        <f t="shared" si="1"/>
        <v>5.1421404682274248E-2</v>
      </c>
    </row>
    <row r="64" spans="1:2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79">
        <v>1472</v>
      </c>
      <c r="G64" s="1">
        <v>148</v>
      </c>
      <c r="H64" s="1">
        <v>1798</v>
      </c>
      <c r="I64" s="1">
        <v>69718</v>
      </c>
      <c r="J64" s="1"/>
      <c r="K64" s="21">
        <v>692</v>
      </c>
      <c r="L64" s="21">
        <v>53203</v>
      </c>
      <c r="M64" s="1">
        <v>53895</v>
      </c>
      <c r="N64" s="1">
        <v>924</v>
      </c>
      <c r="O64" s="1">
        <v>2136</v>
      </c>
      <c r="P64" s="1">
        <v>1378</v>
      </c>
      <c r="Q64" s="16">
        <f t="shared" si="2"/>
        <v>449</v>
      </c>
      <c r="R64" s="1">
        <f t="shared" si="3"/>
        <v>1.324305060584462</v>
      </c>
      <c r="S64" s="72">
        <f t="shared" si="0"/>
        <v>4.6909667194928686E-2</v>
      </c>
      <c r="T64" s="62">
        <f t="shared" si="1"/>
        <v>5.3202373644362595E-2</v>
      </c>
    </row>
    <row r="65" spans="1:2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79">
        <v>1524</v>
      </c>
      <c r="G65" s="1">
        <v>143</v>
      </c>
      <c r="H65" s="1">
        <v>2597</v>
      </c>
      <c r="I65" s="1">
        <v>72315</v>
      </c>
      <c r="J65" s="1"/>
      <c r="K65" s="21">
        <v>666</v>
      </c>
      <c r="L65" s="21">
        <v>55227</v>
      </c>
      <c r="M65" s="1">
        <v>55893</v>
      </c>
      <c r="N65" s="1">
        <v>929</v>
      </c>
      <c r="O65" s="1">
        <v>2204</v>
      </c>
      <c r="P65" s="1">
        <v>1446</v>
      </c>
      <c r="Q65" s="16">
        <f t="shared" si="2"/>
        <v>441</v>
      </c>
      <c r="R65" s="1">
        <f t="shared" si="3"/>
        <v>1.3149055283414977</v>
      </c>
      <c r="S65" s="72">
        <f t="shared" si="0"/>
        <v>4.4245049504950493E-2</v>
      </c>
      <c r="T65" s="62">
        <f t="shared" si="1"/>
        <v>5.2589641434262951E-2</v>
      </c>
    </row>
    <row r="66" spans="1:2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79">
        <v>1601</v>
      </c>
      <c r="G66" s="1">
        <v>151</v>
      </c>
      <c r="H66" s="1">
        <v>2883</v>
      </c>
      <c r="I66" s="1">
        <v>75198</v>
      </c>
      <c r="J66" s="1"/>
      <c r="K66" s="21">
        <v>652</v>
      </c>
      <c r="L66" s="21">
        <v>57176</v>
      </c>
      <c r="M66" s="1">
        <v>57828</v>
      </c>
      <c r="N66" s="1">
        <v>927</v>
      </c>
      <c r="O66" s="1">
        <v>2292</v>
      </c>
      <c r="P66" s="1">
        <v>1510</v>
      </c>
      <c r="Q66" s="16">
        <f t="shared" si="2"/>
        <v>479</v>
      </c>
      <c r="R66" s="1">
        <f t="shared" si="3"/>
        <v>1.2880107166778301</v>
      </c>
      <c r="S66" s="72">
        <f t="shared" si="0"/>
        <v>4.5290941811637675E-2</v>
      </c>
      <c r="T66" s="62">
        <f t="shared" si="1"/>
        <v>5.2419354838709679E-2</v>
      </c>
    </row>
    <row r="67" spans="1:2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79">
        <v>1601</v>
      </c>
      <c r="G67" s="1">
        <v>151</v>
      </c>
      <c r="H67" s="1">
        <v>2703</v>
      </c>
      <c r="I67" s="1">
        <v>77901</v>
      </c>
      <c r="J67" s="1"/>
      <c r="K67" s="21">
        <v>688</v>
      </c>
      <c r="L67" s="21">
        <v>59080</v>
      </c>
      <c r="M67" s="1">
        <v>59768</v>
      </c>
      <c r="N67" s="1">
        <v>929</v>
      </c>
      <c r="O67" s="1">
        <v>2374</v>
      </c>
      <c r="P67" s="1">
        <v>1595</v>
      </c>
      <c r="Q67" s="16">
        <f t="shared" si="2"/>
        <v>473</v>
      </c>
      <c r="R67" s="1">
        <f t="shared" si="3"/>
        <v>1.2582738481505515</v>
      </c>
      <c r="S67" s="72">
        <f t="shared" si="0"/>
        <v>4.3291284403669722E-2</v>
      </c>
      <c r="T67" s="62">
        <f t="shared" si="1"/>
        <v>5.2504189164029047E-2</v>
      </c>
    </row>
    <row r="68" spans="1:2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79">
        <v>1728</v>
      </c>
      <c r="G68" s="1">
        <v>157</v>
      </c>
      <c r="H68" s="1">
        <v>2828</v>
      </c>
      <c r="I68" s="1">
        <v>80729</v>
      </c>
      <c r="J68" s="1"/>
      <c r="K68" s="21">
        <v>678</v>
      </c>
      <c r="L68" s="21">
        <v>61025</v>
      </c>
      <c r="M68" s="1">
        <v>61703</v>
      </c>
      <c r="N68" s="1">
        <v>931</v>
      </c>
      <c r="O68" s="1">
        <v>2469</v>
      </c>
      <c r="P68" s="1">
        <v>1644</v>
      </c>
      <c r="Q68" s="16">
        <f t="shared" si="2"/>
        <v>567</v>
      </c>
      <c r="R68" s="1">
        <f t="shared" si="3"/>
        <v>1.2297794117647058</v>
      </c>
      <c r="S68" s="72">
        <f t="shared" si="0"/>
        <v>4.3732590529247911E-2</v>
      </c>
      <c r="T68" s="62">
        <f t="shared" si="1"/>
        <v>5.2218855818927108E-2</v>
      </c>
    </row>
    <row r="69" spans="1:2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79">
        <v>1757</v>
      </c>
      <c r="G69" s="1">
        <v>160</v>
      </c>
      <c r="H69" s="1">
        <v>2289</v>
      </c>
      <c r="I69" s="1">
        <v>83018</v>
      </c>
      <c r="J69" s="1"/>
      <c r="K69" s="21">
        <v>698</v>
      </c>
      <c r="L69" s="21">
        <v>62760</v>
      </c>
      <c r="M69" s="1">
        <v>63458</v>
      </c>
      <c r="N69" s="1">
        <v>930</v>
      </c>
      <c r="O69" s="1">
        <v>2530</v>
      </c>
      <c r="P69" s="1">
        <v>1703</v>
      </c>
      <c r="Q69" s="16">
        <f t="shared" si="2"/>
        <v>613</v>
      </c>
      <c r="R69" s="1">
        <f t="shared" si="3"/>
        <v>1.2203907203907203</v>
      </c>
      <c r="S69" s="72">
        <f t="shared" si="0"/>
        <v>4.3022317827372952E-2</v>
      </c>
      <c r="T69" s="62">
        <f t="shared" si="1"/>
        <v>5.1939058171745149E-2</v>
      </c>
    </row>
    <row r="70" spans="1:2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79">
        <v>1837</v>
      </c>
      <c r="G70" s="1">
        <v>164</v>
      </c>
      <c r="H70" s="1">
        <v>2140</v>
      </c>
      <c r="I70" s="1">
        <v>85158</v>
      </c>
      <c r="J70" s="1"/>
      <c r="K70" s="21">
        <v>713</v>
      </c>
      <c r="L70" s="21">
        <v>64104</v>
      </c>
      <c r="M70" s="1">
        <v>64817</v>
      </c>
      <c r="N70" s="1">
        <v>929</v>
      </c>
      <c r="O70" s="1">
        <v>2667</v>
      </c>
      <c r="P70" s="1">
        <v>1768</v>
      </c>
      <c r="Q70" s="16">
        <f t="shared" si="2"/>
        <v>670</v>
      </c>
      <c r="R70" s="1">
        <f t="shared" si="3"/>
        <v>1.2737529691211402</v>
      </c>
      <c r="S70" s="72">
        <f t="shared" si="0"/>
        <v>4.2137718396711203E-2</v>
      </c>
      <c r="T70" s="62">
        <f t="shared" si="1"/>
        <v>5.0546900894928734E-2</v>
      </c>
    </row>
    <row r="71" spans="1:2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79">
        <v>1862</v>
      </c>
      <c r="G71" s="1">
        <v>170</v>
      </c>
      <c r="H71" s="1">
        <v>2389</v>
      </c>
      <c r="I71" s="1">
        <v>87547</v>
      </c>
      <c r="J71" s="1"/>
      <c r="K71" s="21">
        <v>733</v>
      </c>
      <c r="L71" s="21">
        <v>65976</v>
      </c>
      <c r="M71" s="1">
        <v>66709</v>
      </c>
      <c r="N71" s="1">
        <v>929</v>
      </c>
      <c r="O71" s="1">
        <v>2800</v>
      </c>
      <c r="P71" s="1">
        <v>1833</v>
      </c>
      <c r="Q71" s="16">
        <f t="shared" si="2"/>
        <v>716</v>
      </c>
      <c r="R71" s="1">
        <f t="shared" si="3"/>
        <v>1.3198146002317497</v>
      </c>
      <c r="S71" s="72">
        <f t="shared" si="0"/>
        <v>4.1443198439785472E-2</v>
      </c>
      <c r="T71" s="62">
        <f t="shared" si="1"/>
        <v>5.0015928639694167E-2</v>
      </c>
    </row>
    <row r="72" spans="1:2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79">
        <v>2266</v>
      </c>
      <c r="G72" s="1">
        <v>147</v>
      </c>
      <c r="H72" s="1">
        <v>2927</v>
      </c>
      <c r="I72" s="1">
        <v>90474</v>
      </c>
      <c r="J72" s="1"/>
      <c r="K72" s="21">
        <v>689</v>
      </c>
      <c r="L72" s="21">
        <v>68237</v>
      </c>
      <c r="M72" s="1">
        <v>68926</v>
      </c>
      <c r="N72" s="1">
        <v>932</v>
      </c>
      <c r="O72" s="1">
        <v>2973</v>
      </c>
      <c r="P72" s="1">
        <v>1923</v>
      </c>
      <c r="Q72" s="16">
        <f t="shared" si="2"/>
        <v>735</v>
      </c>
      <c r="R72" s="1">
        <f t="shared" si="3"/>
        <v>1.4483372921615201</v>
      </c>
      <c r="S72" s="72">
        <f t="shared" si="0"/>
        <v>3.6953242835595777E-2</v>
      </c>
      <c r="T72" s="62">
        <f t="shared" si="1"/>
        <v>4.8605820508913607E-2</v>
      </c>
    </row>
    <row r="73" spans="1:2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79">
        <v>2385</v>
      </c>
      <c r="G73" s="1">
        <v>147</v>
      </c>
      <c r="H73" s="1">
        <v>3199</v>
      </c>
      <c r="I73" s="1">
        <v>93673</v>
      </c>
      <c r="J73" s="1"/>
      <c r="K73" s="21">
        <v>712</v>
      </c>
      <c r="L73" s="21">
        <v>70497</v>
      </c>
      <c r="M73" s="1">
        <v>71209</v>
      </c>
      <c r="N73" s="1">
        <v>936</v>
      </c>
      <c r="O73" s="1">
        <v>3109</v>
      </c>
      <c r="P73" s="1">
        <v>2036</v>
      </c>
      <c r="Q73" s="16">
        <f t="shared" si="2"/>
        <v>798</v>
      </c>
      <c r="R73" s="1">
        <f t="shared" si="3"/>
        <v>1.515169194865811</v>
      </c>
      <c r="S73" s="72">
        <f t="shared" si="0"/>
        <v>3.5294117647058823E-2</v>
      </c>
      <c r="T73" s="62">
        <f t="shared" si="1"/>
        <v>4.7826718999854627E-2</v>
      </c>
    </row>
    <row r="74" spans="1:2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79">
        <v>2497</v>
      </c>
      <c r="G74" s="1">
        <v>149</v>
      </c>
      <c r="H74" s="1">
        <v>3220</v>
      </c>
      <c r="I74" s="1">
        <v>96893</v>
      </c>
      <c r="J74" s="1"/>
      <c r="K74" s="21">
        <v>737</v>
      </c>
      <c r="L74" s="21">
        <v>72972</v>
      </c>
      <c r="M74" s="1">
        <v>73709</v>
      </c>
      <c r="N74" s="1">
        <v>935</v>
      </c>
      <c r="O74" s="1">
        <v>3225</v>
      </c>
      <c r="P74" s="1">
        <v>2169</v>
      </c>
      <c r="Q74" s="16">
        <f t="shared" si="2"/>
        <v>805</v>
      </c>
      <c r="R74" s="1">
        <f t="shared" si="3"/>
        <v>1.5400795906765208</v>
      </c>
      <c r="S74" s="72">
        <f t="shared" si="0"/>
        <v>3.4780578898225958E-2</v>
      </c>
      <c r="T74" s="62">
        <f t="shared" si="1"/>
        <v>4.9481356882534341E-2</v>
      </c>
    </row>
    <row r="75" spans="1:2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79">
        <v>2534</v>
      </c>
      <c r="G75" s="1">
        <v>151</v>
      </c>
      <c r="H75" s="1">
        <v>3469</v>
      </c>
      <c r="I75" s="1">
        <v>100362</v>
      </c>
      <c r="J75" s="1"/>
      <c r="K75" s="21">
        <v>610</v>
      </c>
      <c r="L75" s="21">
        <v>75647</v>
      </c>
      <c r="M75" s="1">
        <v>76257</v>
      </c>
      <c r="N75" s="1">
        <v>937</v>
      </c>
      <c r="O75" s="1">
        <v>3367</v>
      </c>
      <c r="P75" s="1">
        <v>2272</v>
      </c>
      <c r="Q75" s="16">
        <f t="shared" si="2"/>
        <v>903</v>
      </c>
      <c r="R75" s="1">
        <f t="shared" si="3"/>
        <v>1.6614084507042253</v>
      </c>
      <c r="S75" s="72">
        <f t="shared" si="0"/>
        <v>3.2904772281542823E-2</v>
      </c>
      <c r="T75" s="62">
        <f t="shared" si="1"/>
        <v>4.7599946516914023E-2</v>
      </c>
    </row>
    <row r="76" spans="1:2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79">
        <v>2569</v>
      </c>
      <c r="G76" s="1">
        <v>154</v>
      </c>
      <c r="H76" s="1">
        <v>2858</v>
      </c>
      <c r="I76" s="1">
        <v>103220</v>
      </c>
      <c r="J76" s="1"/>
      <c r="K76" s="21">
        <v>626</v>
      </c>
      <c r="L76" s="21">
        <v>77581</v>
      </c>
      <c r="M76" s="1">
        <v>78207</v>
      </c>
      <c r="N76" s="1">
        <v>987</v>
      </c>
      <c r="O76" s="1">
        <v>3482</v>
      </c>
      <c r="P76" s="1">
        <v>2372</v>
      </c>
      <c r="Q76" s="16">
        <f t="shared" si="2"/>
        <v>964</v>
      </c>
      <c r="R76" s="1">
        <f t="shared" si="3"/>
        <v>1.6966901790558873</v>
      </c>
      <c r="S76" s="72">
        <f t="shared" si="0"/>
        <v>3.160270880361174E-2</v>
      </c>
      <c r="T76" s="62">
        <f t="shared" si="1"/>
        <v>4.6508648302370274E-2</v>
      </c>
    </row>
    <row r="77" spans="1:2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79">
        <v>2625</v>
      </c>
      <c r="G77" s="1">
        <v>159</v>
      </c>
      <c r="H77" s="1">
        <v>2609</v>
      </c>
      <c r="I77" s="1">
        <v>105829</v>
      </c>
      <c r="J77" s="1"/>
      <c r="K77" s="21">
        <v>640</v>
      </c>
      <c r="L77" s="21">
        <v>79462</v>
      </c>
      <c r="M77" s="1">
        <v>80102</v>
      </c>
      <c r="N77" s="1">
        <v>939</v>
      </c>
      <c r="O77" s="1">
        <v>3561</v>
      </c>
      <c r="P77" s="1">
        <v>2468</v>
      </c>
      <c r="Q77" s="16">
        <f t="shared" si="2"/>
        <v>1118</v>
      </c>
      <c r="R77" s="1">
        <f t="shared" si="3"/>
        <v>1.7825379609544467</v>
      </c>
      <c r="S77" s="72">
        <f t="shared" si="0"/>
        <v>3.125E-2</v>
      </c>
      <c r="T77" s="62">
        <f t="shared" si="1"/>
        <v>4.6129112045510762E-2</v>
      </c>
    </row>
    <row r="78" spans="1:2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79">
        <v>2872</v>
      </c>
      <c r="G78" s="1">
        <v>156</v>
      </c>
      <c r="H78" s="1">
        <v>2805</v>
      </c>
      <c r="I78" s="1">
        <v>108634</v>
      </c>
      <c r="J78" s="1"/>
      <c r="K78" s="21">
        <v>657</v>
      </c>
      <c r="L78" s="21">
        <v>81466</v>
      </c>
      <c r="M78" s="1">
        <v>82123</v>
      </c>
      <c r="N78" s="1">
        <v>939</v>
      </c>
      <c r="O78" s="1">
        <v>3718</v>
      </c>
      <c r="P78" s="1">
        <v>2607</v>
      </c>
      <c r="Q78" s="16">
        <f t="shared" si="2"/>
        <v>1107</v>
      </c>
      <c r="R78" s="1">
        <f t="shared" si="3"/>
        <v>1.8762109795479009</v>
      </c>
      <c r="S78" s="72">
        <f t="shared" ref="S78:S141" si="4">G78/(C78-E78-F78)</f>
        <v>3.0486613249951142E-2</v>
      </c>
      <c r="T78" s="62">
        <f t="shared" si="1"/>
        <v>4.5633735515470078E-2</v>
      </c>
    </row>
    <row r="79" spans="1:2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79">
        <v>2933</v>
      </c>
      <c r="G79" s="1">
        <v>161</v>
      </c>
      <c r="H79" s="1">
        <v>3736</v>
      </c>
      <c r="I79" s="1">
        <v>112370</v>
      </c>
      <c r="J79" s="1"/>
      <c r="K79" s="21">
        <v>681</v>
      </c>
      <c r="L79" s="21">
        <v>84449</v>
      </c>
      <c r="M79" s="1">
        <v>85130</v>
      </c>
      <c r="N79" s="1">
        <v>940</v>
      </c>
      <c r="O79" s="1">
        <v>3879</v>
      </c>
      <c r="P79" s="1">
        <v>2758</v>
      </c>
      <c r="Q79" s="16">
        <f t="shared" si="2"/>
        <v>1232</v>
      </c>
      <c r="R79" s="1">
        <f t="shared" si="3"/>
        <v>2.0170303352847259</v>
      </c>
      <c r="S79" s="72">
        <f t="shared" si="4"/>
        <v>2.9363487142075505E-2</v>
      </c>
      <c r="T79" s="62">
        <f t="shared" ref="T79:T142" si="5">E79/C79</f>
        <v>4.4613463503235327E-2</v>
      </c>
    </row>
    <row r="80" spans="1:2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79">
        <v>3032</v>
      </c>
      <c r="G80" s="1">
        <v>171</v>
      </c>
      <c r="H80" s="1">
        <v>4319</v>
      </c>
      <c r="I80" s="1">
        <v>116689</v>
      </c>
      <c r="J80" s="1"/>
      <c r="K80" s="21">
        <v>705</v>
      </c>
      <c r="L80" s="21">
        <v>87447</v>
      </c>
      <c r="M80" s="1">
        <v>88152</v>
      </c>
      <c r="N80" s="1">
        <v>945</v>
      </c>
      <c r="O80" s="1">
        <v>4068</v>
      </c>
      <c r="P80" s="1">
        <v>2919</v>
      </c>
      <c r="Q80" s="16">
        <f t="shared" si="2"/>
        <v>1351</v>
      </c>
      <c r="R80" s="1">
        <f t="shared" si="3"/>
        <v>2.1196047841913677</v>
      </c>
      <c r="S80" s="72">
        <f t="shared" si="4"/>
        <v>2.924076607387141E-2</v>
      </c>
      <c r="T80" s="62">
        <f t="shared" si="5"/>
        <v>4.341268986319078E-2</v>
      </c>
    </row>
    <row r="81" spans="1:20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79">
        <v>3062</v>
      </c>
      <c r="G81" s="1">
        <v>172</v>
      </c>
      <c r="H81" s="1">
        <v>4589</v>
      </c>
      <c r="I81" s="1">
        <v>121278</v>
      </c>
      <c r="J81" s="1"/>
      <c r="K81" s="21">
        <v>731</v>
      </c>
      <c r="L81" s="21">
        <v>90667</v>
      </c>
      <c r="M81" s="1">
        <v>91398</v>
      </c>
      <c r="N81" s="1">
        <v>947</v>
      </c>
      <c r="O81" s="1">
        <v>4334</v>
      </c>
      <c r="P81" s="1">
        <v>3154</v>
      </c>
      <c r="Q81" s="16">
        <f t="shared" ref="Q81:Q95" si="6">C81-P81-O81-N81</f>
        <v>1496</v>
      </c>
      <c r="R81" s="1">
        <f t="shared" si="3"/>
        <v>2.3522434244455903</v>
      </c>
      <c r="S81" s="72">
        <f t="shared" si="4"/>
        <v>2.66542693320936E-2</v>
      </c>
      <c r="T81" s="62">
        <f t="shared" si="5"/>
        <v>4.1889034336924778E-2</v>
      </c>
    </row>
    <row r="82" spans="1:20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79">
        <v>3530</v>
      </c>
      <c r="G82" s="1">
        <v>173</v>
      </c>
      <c r="H82" s="1">
        <v>4615</v>
      </c>
      <c r="I82" s="1">
        <v>125893</v>
      </c>
      <c r="J82" s="1"/>
      <c r="K82" s="21">
        <v>754</v>
      </c>
      <c r="L82" s="21">
        <v>93528</v>
      </c>
      <c r="M82" s="1">
        <v>94282</v>
      </c>
      <c r="N82" s="1">
        <v>948</v>
      </c>
      <c r="O82" s="1">
        <v>4648</v>
      </c>
      <c r="P82" s="1">
        <v>3314</v>
      </c>
      <c r="Q82" s="16">
        <f t="shared" si="6"/>
        <v>1739</v>
      </c>
      <c r="R82" s="1">
        <f t="shared" si="3"/>
        <v>2.5107125062282014</v>
      </c>
      <c r="S82" s="72">
        <f t="shared" si="4"/>
        <v>2.5874962608435536E-2</v>
      </c>
      <c r="T82" s="62">
        <f t="shared" si="5"/>
        <v>4.0661094938491876E-2</v>
      </c>
    </row>
    <row r="83" spans="1:20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79">
        <v>3732</v>
      </c>
      <c r="G83" s="1">
        <v>181</v>
      </c>
      <c r="H83" s="1">
        <v>3525</v>
      </c>
      <c r="I83" s="1">
        <v>129418</v>
      </c>
      <c r="J83" s="1"/>
      <c r="K83" s="21">
        <v>773</v>
      </c>
      <c r="L83" s="21">
        <v>95859</v>
      </c>
      <c r="M83" s="1">
        <v>96632</v>
      </c>
      <c r="N83" s="1">
        <v>951</v>
      </c>
      <c r="O83" s="1">
        <v>4955</v>
      </c>
      <c r="P83" s="1">
        <v>3540</v>
      </c>
      <c r="Q83" s="16">
        <f t="shared" si="6"/>
        <v>1907</v>
      </c>
      <c r="R83" s="1">
        <f t="shared" si="3"/>
        <v>2.7903951975987997</v>
      </c>
      <c r="S83" s="72">
        <f t="shared" si="4"/>
        <v>2.5222965440356744E-2</v>
      </c>
      <c r="T83" s="62">
        <f t="shared" si="5"/>
        <v>3.9196688100061661E-2</v>
      </c>
    </row>
    <row r="84" spans="1:20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79">
        <v>3999</v>
      </c>
      <c r="G84" s="1">
        <v>181</v>
      </c>
      <c r="H84" s="1">
        <v>4050</v>
      </c>
      <c r="I84" s="1">
        <v>133468</v>
      </c>
      <c r="J84" s="1"/>
      <c r="K84" s="21">
        <v>793</v>
      </c>
      <c r="L84" s="21">
        <v>98352</v>
      </c>
      <c r="M84" s="1">
        <v>99145</v>
      </c>
      <c r="N84" s="1">
        <v>955</v>
      </c>
      <c r="O84" s="1">
        <v>5302</v>
      </c>
      <c r="P84" s="1">
        <v>3766</v>
      </c>
      <c r="Q84" s="16">
        <f t="shared" si="6"/>
        <v>2053</v>
      </c>
      <c r="R84" s="1">
        <f t="shared" si="3"/>
        <v>2.8172494172494171</v>
      </c>
      <c r="S84" s="72">
        <f t="shared" si="4"/>
        <v>2.3737704918032787E-2</v>
      </c>
      <c r="T84" s="62">
        <f t="shared" si="5"/>
        <v>3.742961245445512E-2</v>
      </c>
    </row>
    <row r="85" spans="1:20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79">
        <v>4167</v>
      </c>
      <c r="G85" s="1">
        <v>203</v>
      </c>
      <c r="H85" s="1">
        <v>3194</v>
      </c>
      <c r="I85" s="1">
        <v>136662</v>
      </c>
      <c r="J85" s="1"/>
      <c r="K85" s="21">
        <v>709</v>
      </c>
      <c r="L85" s="21">
        <v>100639</v>
      </c>
      <c r="M85" s="1">
        <v>101348</v>
      </c>
      <c r="N85" s="1">
        <v>956</v>
      </c>
      <c r="O85" s="1">
        <v>5563</v>
      </c>
      <c r="P85" s="1">
        <v>4057</v>
      </c>
      <c r="Q85" s="16">
        <f t="shared" si="6"/>
        <v>2052</v>
      </c>
      <c r="R85" s="1">
        <f t="shared" si="3"/>
        <v>2.7879719051799823</v>
      </c>
      <c r="S85" s="72">
        <f t="shared" si="4"/>
        <v>2.5394045534150613E-2</v>
      </c>
      <c r="T85" s="62">
        <f t="shared" si="5"/>
        <v>3.6981311371555275E-2</v>
      </c>
    </row>
    <row r="86" spans="1:20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79">
        <v>4349</v>
      </c>
      <c r="G86" s="1">
        <v>250</v>
      </c>
      <c r="H86" s="1">
        <v>3556</v>
      </c>
      <c r="I86" s="1">
        <v>140218</v>
      </c>
      <c r="J86" s="1"/>
      <c r="K86" s="21">
        <v>727</v>
      </c>
      <c r="L86" s="21">
        <v>103173</v>
      </c>
      <c r="M86" s="1">
        <v>103900</v>
      </c>
      <c r="N86" s="3">
        <v>959</v>
      </c>
      <c r="O86" s="3">
        <v>5813</v>
      </c>
      <c r="P86" s="3">
        <v>4354</v>
      </c>
      <c r="Q86" s="16">
        <f t="shared" si="6"/>
        <v>2102</v>
      </c>
      <c r="R86" s="1">
        <f t="shared" si="3"/>
        <v>2.7330873308733086</v>
      </c>
      <c r="S86" s="72">
        <f t="shared" si="4"/>
        <v>2.9800929789009417E-2</v>
      </c>
      <c r="T86" s="62">
        <f t="shared" si="5"/>
        <v>3.704263683096462E-2</v>
      </c>
    </row>
    <row r="87" spans="1:20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79">
        <v>4617</v>
      </c>
      <c r="G87" s="1">
        <v>254</v>
      </c>
      <c r="H87" s="1">
        <v>4863</v>
      </c>
      <c r="I87" s="1">
        <v>145081</v>
      </c>
      <c r="J87" s="1"/>
      <c r="K87" s="21">
        <v>642</v>
      </c>
      <c r="L87" s="21">
        <v>106456</v>
      </c>
      <c r="M87" s="1">
        <v>107098</v>
      </c>
      <c r="N87" s="1">
        <v>961</v>
      </c>
      <c r="O87" s="1">
        <v>6091</v>
      </c>
      <c r="P87" s="1">
        <v>4694</v>
      </c>
      <c r="Q87" s="16">
        <f t="shared" si="6"/>
        <v>2187</v>
      </c>
      <c r="R87" s="1">
        <f t="shared" si="3"/>
        <v>2.7169811320754715</v>
      </c>
      <c r="S87" s="72">
        <f t="shared" si="4"/>
        <v>2.8811252268602542E-2</v>
      </c>
      <c r="T87" s="62">
        <f t="shared" si="5"/>
        <v>3.5886025981482814E-2</v>
      </c>
    </row>
    <row r="88" spans="1:20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79">
        <v>4788</v>
      </c>
      <c r="G88" s="1">
        <v>259</v>
      </c>
      <c r="H88" s="1">
        <v>5405</v>
      </c>
      <c r="I88" s="1">
        <v>150486</v>
      </c>
      <c r="J88" s="1"/>
      <c r="K88" s="21">
        <v>664</v>
      </c>
      <c r="L88" s="21">
        <v>110132</v>
      </c>
      <c r="M88" s="4">
        <v>110796</v>
      </c>
      <c r="N88" s="1">
        <v>967</v>
      </c>
      <c r="O88" s="1">
        <v>6450</v>
      </c>
      <c r="P88" s="1">
        <v>5051</v>
      </c>
      <c r="Q88" s="16">
        <f t="shared" si="6"/>
        <v>2234</v>
      </c>
      <c r="R88" s="1">
        <f t="shared" si="3"/>
        <v>2.7943890734588406</v>
      </c>
      <c r="S88" s="72">
        <f t="shared" si="4"/>
        <v>2.7535615564533277E-2</v>
      </c>
      <c r="T88" s="62">
        <f t="shared" si="5"/>
        <v>3.4553122024214393E-2</v>
      </c>
    </row>
    <row r="89" spans="1:20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79">
        <v>5100</v>
      </c>
      <c r="G89" s="1">
        <v>244</v>
      </c>
      <c r="H89" s="4">
        <v>4921</v>
      </c>
      <c r="I89" s="4">
        <v>155400</v>
      </c>
      <c r="J89" s="4"/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6">
        <f t="shared" si="6"/>
        <v>2316</v>
      </c>
      <c r="R89" s="1">
        <f t="shared" si="3"/>
        <v>2.6931163106137679</v>
      </c>
      <c r="S89" s="72">
        <f t="shared" si="4"/>
        <v>2.4900500051025613E-2</v>
      </c>
      <c r="T89" s="62">
        <f t="shared" si="5"/>
        <v>3.3724625462092227E-2</v>
      </c>
    </row>
    <row r="90" spans="1:20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79">
        <v>5336</v>
      </c>
      <c r="G90" s="1">
        <v>256</v>
      </c>
      <c r="H90" s="4">
        <v>4663</v>
      </c>
      <c r="I90" s="4">
        <v>160070</v>
      </c>
      <c r="J90" s="4"/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6">
        <f t="shared" si="6"/>
        <v>2491</v>
      </c>
      <c r="R90" s="1">
        <f t="shared" si="3"/>
        <v>2.6894787336104891</v>
      </c>
      <c r="S90" s="72">
        <f t="shared" si="4"/>
        <v>2.4734299516908212E-2</v>
      </c>
      <c r="T90" s="62">
        <f t="shared" si="5"/>
        <v>3.2564450474898234E-2</v>
      </c>
    </row>
    <row r="91" spans="1:20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79">
        <v>5521</v>
      </c>
      <c r="G91" s="1">
        <v>272</v>
      </c>
      <c r="H91" s="4">
        <v>4014</v>
      </c>
      <c r="I91" s="4">
        <v>164084</v>
      </c>
      <c r="J91" s="4"/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6">
        <f t="shared" si="6"/>
        <v>2598</v>
      </c>
      <c r="R91" s="1">
        <f t="shared" si="3"/>
        <v>2.6723456038941285</v>
      </c>
      <c r="S91" s="72">
        <f t="shared" si="4"/>
        <v>2.5206190343805022E-2</v>
      </c>
      <c r="T91" s="62">
        <f t="shared" si="5"/>
        <v>3.1986232271081834E-2</v>
      </c>
    </row>
    <row r="92" spans="1:20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79">
        <v>5709</v>
      </c>
      <c r="G92" s="1">
        <v>271</v>
      </c>
      <c r="H92" s="4">
        <v>3715</v>
      </c>
      <c r="I92" s="4">
        <v>167799</v>
      </c>
      <c r="J92" s="4"/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6">
        <f t="shared" si="6"/>
        <v>2646</v>
      </c>
      <c r="R92" s="1">
        <f t="shared" ref="R92:R155" si="7">AVERAGE(B79:B92)/AVERAGE(B65:B78)</f>
        <v>2.5946643717728053</v>
      </c>
      <c r="S92" s="72">
        <f t="shared" si="4"/>
        <v>2.430493273542601E-2</v>
      </c>
      <c r="T92" s="62">
        <f t="shared" si="5"/>
        <v>3.1926500143554408E-2</v>
      </c>
    </row>
    <row r="93" spans="1:20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79">
        <v>5896</v>
      </c>
      <c r="G93" s="1">
        <v>288</v>
      </c>
      <c r="H93" s="4">
        <v>5148</v>
      </c>
      <c r="I93" s="4">
        <v>172947</v>
      </c>
      <c r="J93" s="4"/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6">
        <f t="shared" si="6"/>
        <v>2895</v>
      </c>
      <c r="R93" s="1">
        <f t="shared" si="7"/>
        <v>2.5094986807387865</v>
      </c>
      <c r="S93" s="72">
        <f t="shared" si="4"/>
        <v>2.4295596423148304E-2</v>
      </c>
      <c r="T93" s="62">
        <f t="shared" si="5"/>
        <v>3.1060647415251923E-2</v>
      </c>
    </row>
    <row r="94" spans="1:20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79">
        <v>5993</v>
      </c>
      <c r="G94" s="1">
        <v>293</v>
      </c>
      <c r="H94" s="4">
        <v>5501</v>
      </c>
      <c r="I94" s="4">
        <v>178448</v>
      </c>
      <c r="J94" s="4"/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6">
        <f t="shared" si="6"/>
        <v>3133</v>
      </c>
      <c r="R94" s="1">
        <f t="shared" si="7"/>
        <v>2.4499509322865554</v>
      </c>
      <c r="S94" s="72">
        <f t="shared" si="4"/>
        <v>2.3085408131106207E-2</v>
      </c>
      <c r="T94" s="62">
        <f t="shared" si="5"/>
        <v>3.0257421631720988E-2</v>
      </c>
    </row>
    <row r="95" spans="1:20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79">
        <v>6088</v>
      </c>
      <c r="G95" s="1">
        <v>248</v>
      </c>
      <c r="H95" s="4">
        <v>5414</v>
      </c>
      <c r="I95" s="4">
        <v>183862</v>
      </c>
      <c r="J95" s="4"/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6">
        <f t="shared" si="6"/>
        <v>3329</v>
      </c>
      <c r="R95" s="1">
        <f t="shared" si="7"/>
        <v>2.2510414382810788</v>
      </c>
      <c r="S95" s="72">
        <f t="shared" si="4"/>
        <v>1.8369009702984964E-2</v>
      </c>
      <c r="T95" s="62">
        <f t="shared" si="5"/>
        <v>3.0103480714957668E-2</v>
      </c>
    </row>
    <row r="96" spans="1:20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79">
        <v>6180</v>
      </c>
      <c r="G96" s="1">
        <v>249</v>
      </c>
      <c r="H96" s="4">
        <v>5416</v>
      </c>
      <c r="I96" s="4">
        <v>189278</v>
      </c>
      <c r="J96" s="4"/>
      <c r="K96" s="7">
        <v>812</v>
      </c>
      <c r="L96" s="7">
        <v>134642</v>
      </c>
      <c r="M96" s="4">
        <v>135454</v>
      </c>
      <c r="N96" s="9">
        <v>980</v>
      </c>
      <c r="O96" s="9">
        <v>8883</v>
      </c>
      <c r="P96" s="9">
        <v>7770</v>
      </c>
      <c r="Q96" s="16">
        <f>C96-P96-O96-N96</f>
        <v>3404</v>
      </c>
      <c r="R96" s="1">
        <f t="shared" si="7"/>
        <v>2.0617185949593173</v>
      </c>
      <c r="S96" s="72">
        <f t="shared" si="4"/>
        <v>1.750439367311072E-2</v>
      </c>
      <c r="T96" s="62">
        <f t="shared" si="5"/>
        <v>3.004230641251129E-2</v>
      </c>
    </row>
    <row r="97" spans="1:20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79">
        <v>6909</v>
      </c>
      <c r="G97" s="1">
        <v>247</v>
      </c>
      <c r="H97" s="4">
        <v>4635</v>
      </c>
      <c r="I97" s="4">
        <v>193923</v>
      </c>
      <c r="J97" s="4"/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6">
        <f>C97-P97-O97-N97</f>
        <v>3677</v>
      </c>
      <c r="R97" s="1">
        <f t="shared" si="7"/>
        <v>1.912513445679455</v>
      </c>
      <c r="S97" s="72">
        <f t="shared" si="4"/>
        <v>1.7078061259766301E-2</v>
      </c>
      <c r="T97" s="62">
        <f t="shared" si="5"/>
        <v>2.9427792915531336E-2</v>
      </c>
    </row>
    <row r="98" spans="1:20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79">
        <v>7305</v>
      </c>
      <c r="G98" s="1">
        <v>235</v>
      </c>
      <c r="H98" s="4">
        <v>4607</v>
      </c>
      <c r="I98" s="4">
        <v>198520</v>
      </c>
      <c r="J98" s="4"/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6">
        <f>C98-P98-O98-N98</f>
        <v>3892</v>
      </c>
      <c r="R98" s="1">
        <f t="shared" si="7"/>
        <v>1.773787853715042</v>
      </c>
      <c r="S98" s="72">
        <f t="shared" si="4"/>
        <v>1.5851602023608771E-2</v>
      </c>
      <c r="T98" s="62">
        <f t="shared" si="5"/>
        <v>2.9130472931473195E-2</v>
      </c>
    </row>
    <row r="99" spans="1:20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79">
        <v>7568</v>
      </c>
      <c r="G99" s="1">
        <v>265</v>
      </c>
      <c r="H99" s="4">
        <v>4531</v>
      </c>
      <c r="I99" s="4">
        <v>203810</v>
      </c>
      <c r="J99" s="4"/>
      <c r="K99" s="7">
        <v>866</v>
      </c>
      <c r="L99" s="7">
        <v>143482</v>
      </c>
      <c r="M99" s="4">
        <v>144348</v>
      </c>
      <c r="N99" s="4">
        <v>986</v>
      </c>
      <c r="O99" s="12">
        <v>9822</v>
      </c>
      <c r="P99" s="12">
        <v>8919</v>
      </c>
      <c r="Q99" s="16">
        <f>C99-P99-O99-N99</f>
        <v>3893</v>
      </c>
      <c r="R99" s="1">
        <f t="shared" si="7"/>
        <v>1.7309085183435677</v>
      </c>
      <c r="S99" s="72">
        <f t="shared" si="4"/>
        <v>1.7253727456214597E-2</v>
      </c>
      <c r="T99" s="62">
        <f t="shared" si="5"/>
        <v>2.9339542760372567E-2</v>
      </c>
    </row>
    <row r="100" spans="1:20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79">
        <v>7991</v>
      </c>
      <c r="G100" s="1">
        <v>263</v>
      </c>
      <c r="H100" s="4">
        <v>5468</v>
      </c>
      <c r="I100" s="4">
        <v>208519</v>
      </c>
      <c r="J100" s="4"/>
      <c r="K100" s="7">
        <v>739</v>
      </c>
      <c r="L100" s="7">
        <v>147178</v>
      </c>
      <c r="M100" s="4">
        <v>147917</v>
      </c>
      <c r="N100" s="12">
        <v>992</v>
      </c>
      <c r="O100" s="12">
        <v>10260</v>
      </c>
      <c r="P100" s="12">
        <v>9406</v>
      </c>
      <c r="Q100" s="16">
        <f>C100-P100-O100-N100</f>
        <v>4103</v>
      </c>
      <c r="R100" s="1">
        <f t="shared" si="7"/>
        <v>1.7302730273027302</v>
      </c>
      <c r="S100" s="72">
        <f t="shared" si="4"/>
        <v>1.6383230548807078E-2</v>
      </c>
      <c r="T100" s="62">
        <f t="shared" si="5"/>
        <v>2.8956827268688663E-2</v>
      </c>
    </row>
    <row r="101" spans="1:20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79">
        <v>8332</v>
      </c>
      <c r="G101" s="1">
        <v>325</v>
      </c>
      <c r="H101" s="4">
        <v>6288</v>
      </c>
      <c r="I101" s="4">
        <v>214807</v>
      </c>
      <c r="J101" s="4"/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6">
        <f t="shared" ref="Q101:Q124" si="8">C101-P101-O101-N101</f>
        <v>4386</v>
      </c>
      <c r="R101" s="1">
        <f t="shared" si="7"/>
        <v>1.7083333333333333</v>
      </c>
      <c r="S101" s="72">
        <f t="shared" si="4"/>
        <v>1.9208037825059102E-2</v>
      </c>
      <c r="T101" s="62">
        <f t="shared" si="5"/>
        <v>2.8283372455458498E-2</v>
      </c>
    </row>
    <row r="102" spans="1:20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79">
        <v>8743</v>
      </c>
      <c r="G102" s="1">
        <v>295</v>
      </c>
      <c r="H102" s="4">
        <v>6498</v>
      </c>
      <c r="I102" s="4">
        <v>221305</v>
      </c>
      <c r="J102" s="4"/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6">
        <f t="shared" si="8"/>
        <v>4741</v>
      </c>
      <c r="R102" s="1">
        <f t="shared" si="7"/>
        <v>1.6738441215323647</v>
      </c>
      <c r="S102" s="72">
        <f t="shared" si="4"/>
        <v>1.6512734396865379E-2</v>
      </c>
      <c r="T102" s="62">
        <f t="shared" si="5"/>
        <v>2.7947247287473057E-2</v>
      </c>
    </row>
    <row r="103" spans="1:20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79">
        <v>9083</v>
      </c>
      <c r="G103" s="1">
        <v>280</v>
      </c>
      <c r="H103" s="4">
        <v>7019</v>
      </c>
      <c r="I103" s="4">
        <v>228324</v>
      </c>
      <c r="J103" s="4"/>
      <c r="K103" s="7">
        <v>797</v>
      </c>
      <c r="L103" s="39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6">
        <f t="shared" si="8"/>
        <v>5069</v>
      </c>
      <c r="R103" s="1">
        <f t="shared" si="7"/>
        <v>1.6803072273986399</v>
      </c>
      <c r="S103" s="72">
        <f t="shared" si="4"/>
        <v>1.4817950889077053E-2</v>
      </c>
      <c r="T103" s="62">
        <f t="shared" si="5"/>
        <v>2.7291058267278543E-2</v>
      </c>
    </row>
    <row r="104" spans="1:20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2">
        <v>9564</v>
      </c>
      <c r="G104" s="9">
        <v>293</v>
      </c>
      <c r="H104" s="4">
        <v>6046</v>
      </c>
      <c r="I104" s="4">
        <v>234370</v>
      </c>
      <c r="J104" s="4"/>
      <c r="K104" s="7">
        <v>815</v>
      </c>
      <c r="L104" s="39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6">
        <f t="shared" si="8"/>
        <v>5627</v>
      </c>
      <c r="R104" s="1">
        <f t="shared" si="7"/>
        <v>1.6743162901307969</v>
      </c>
      <c r="S104" s="72">
        <f t="shared" si="4"/>
        <v>1.4711789515967062E-2</v>
      </c>
      <c r="T104" s="62">
        <f t="shared" si="5"/>
        <v>2.6902129064202012E-2</v>
      </c>
    </row>
    <row r="105" spans="1:20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2">
        <v>9891</v>
      </c>
      <c r="G105" s="17">
        <v>316</v>
      </c>
      <c r="H105" s="4">
        <v>5571</v>
      </c>
      <c r="I105" s="4">
        <v>239941</v>
      </c>
      <c r="J105" s="4"/>
      <c r="K105" s="7">
        <v>832</v>
      </c>
      <c r="L105" s="7">
        <v>165611</v>
      </c>
      <c r="M105" s="4">
        <v>166443</v>
      </c>
      <c r="N105" s="12">
        <v>1022</v>
      </c>
      <c r="O105" s="12">
        <v>12386</v>
      </c>
      <c r="P105" s="12">
        <v>12167</v>
      </c>
      <c r="Q105" s="16">
        <f t="shared" si="8"/>
        <v>6002</v>
      </c>
      <c r="R105" s="1">
        <f t="shared" si="7"/>
        <v>1.6764571948998179</v>
      </c>
      <c r="S105" s="72">
        <f t="shared" si="4"/>
        <v>1.5153694912003069E-2</v>
      </c>
      <c r="T105" s="62">
        <f t="shared" si="5"/>
        <v>2.6379960097539349E-2</v>
      </c>
    </row>
    <row r="106" spans="1:20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2">
        <v>10164</v>
      </c>
      <c r="G106" s="18">
        <v>324</v>
      </c>
      <c r="H106" s="4">
        <v>5118</v>
      </c>
      <c r="I106" s="4">
        <v>245059</v>
      </c>
      <c r="J106" s="4"/>
      <c r="K106" s="7">
        <v>847</v>
      </c>
      <c r="L106" s="7">
        <v>168596</v>
      </c>
      <c r="M106" s="4">
        <v>169443</v>
      </c>
      <c r="N106" s="12">
        <v>1028</v>
      </c>
      <c r="O106" s="12">
        <v>12835</v>
      </c>
      <c r="P106" s="12">
        <v>12828</v>
      </c>
      <c r="Q106" s="16">
        <f t="shared" si="8"/>
        <v>6094</v>
      </c>
      <c r="R106" s="1">
        <f t="shared" si="7"/>
        <v>1.699281370923162</v>
      </c>
      <c r="S106" s="72">
        <f t="shared" si="4"/>
        <v>1.4884917535719208E-2</v>
      </c>
      <c r="T106" s="62">
        <f t="shared" si="5"/>
        <v>2.6048497788622844E-2</v>
      </c>
    </row>
    <row r="107" spans="1:20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2">
        <v>10512</v>
      </c>
      <c r="G107" s="18">
        <v>345</v>
      </c>
      <c r="H107" s="12">
        <v>5556</v>
      </c>
      <c r="I107" s="12">
        <v>250615</v>
      </c>
      <c r="J107" s="12"/>
      <c r="K107" s="7">
        <v>863</v>
      </c>
      <c r="L107" s="7">
        <v>171855</v>
      </c>
      <c r="M107" s="4">
        <v>172718</v>
      </c>
      <c r="N107" s="12">
        <v>1030</v>
      </c>
      <c r="O107" s="12">
        <v>13340</v>
      </c>
      <c r="P107" s="12">
        <v>13602</v>
      </c>
      <c r="Q107" s="16">
        <f t="shared" si="8"/>
        <v>6187</v>
      </c>
      <c r="R107" s="1">
        <f t="shared" si="7"/>
        <v>1.6654400168226262</v>
      </c>
      <c r="S107" s="72">
        <f t="shared" si="4"/>
        <v>1.5152180596424964E-2</v>
      </c>
      <c r="T107" s="62">
        <f t="shared" si="5"/>
        <v>2.5703328551772594E-2</v>
      </c>
    </row>
    <row r="108" spans="1:20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2">
        <v>10721</v>
      </c>
      <c r="G108" s="18">
        <v>353</v>
      </c>
      <c r="H108" s="4">
        <v>6477</v>
      </c>
      <c r="I108" s="4">
        <v>257092</v>
      </c>
      <c r="J108" s="4"/>
      <c r="K108" s="7">
        <v>882</v>
      </c>
      <c r="L108" s="7">
        <v>175554</v>
      </c>
      <c r="M108" s="4">
        <v>176436</v>
      </c>
      <c r="N108" s="12">
        <v>1036</v>
      </c>
      <c r="O108" s="12">
        <v>13805</v>
      </c>
      <c r="P108" s="12">
        <v>14433</v>
      </c>
      <c r="Q108" s="16">
        <f t="shared" si="8"/>
        <v>6278</v>
      </c>
      <c r="R108" s="1">
        <f t="shared" si="7"/>
        <v>1.6306829561385938</v>
      </c>
      <c r="S108" s="72">
        <f t="shared" si="4"/>
        <v>1.4758759093569697E-2</v>
      </c>
      <c r="T108" s="62">
        <f t="shared" si="5"/>
        <v>2.5680693069306929E-2</v>
      </c>
    </row>
    <row r="109" spans="1:20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6">
        <v>11851</v>
      </c>
      <c r="G109" s="4">
        <v>364</v>
      </c>
      <c r="H109" s="4">
        <v>7512</v>
      </c>
      <c r="I109" s="4">
        <v>264604</v>
      </c>
      <c r="J109" s="4"/>
      <c r="K109" s="7">
        <v>906</v>
      </c>
      <c r="L109" s="7">
        <v>180447</v>
      </c>
      <c r="M109" s="4">
        <v>181353</v>
      </c>
      <c r="N109" s="12">
        <v>1049</v>
      </c>
      <c r="O109" s="12">
        <v>14420</v>
      </c>
      <c r="P109" s="12">
        <v>15347</v>
      </c>
      <c r="Q109" s="16">
        <f t="shared" si="8"/>
        <v>6694</v>
      </c>
      <c r="R109" s="1">
        <f t="shared" si="7"/>
        <v>1.6862764195967663</v>
      </c>
      <c r="S109" s="72">
        <f t="shared" si="4"/>
        <v>1.4730282060620777E-2</v>
      </c>
      <c r="T109" s="62">
        <f t="shared" si="5"/>
        <v>2.5273260463876301E-2</v>
      </c>
    </row>
    <row r="110" spans="1:20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6">
        <v>12206</v>
      </c>
      <c r="G110" s="4">
        <v>364</v>
      </c>
      <c r="H110" s="4">
        <v>8625</v>
      </c>
      <c r="I110" s="4">
        <v>273229</v>
      </c>
      <c r="J110" s="4"/>
      <c r="K110" s="7">
        <v>931</v>
      </c>
      <c r="L110" s="7">
        <v>185302</v>
      </c>
      <c r="M110" s="4">
        <v>186233</v>
      </c>
      <c r="N110" s="12">
        <v>1044</v>
      </c>
      <c r="O110" s="12">
        <v>15003</v>
      </c>
      <c r="P110" s="12">
        <v>16383</v>
      </c>
      <c r="Q110" s="16">
        <f t="shared" si="8"/>
        <v>7140</v>
      </c>
      <c r="R110" s="1">
        <f t="shared" si="7"/>
        <v>1.7839060544807006</v>
      </c>
      <c r="S110" s="72">
        <f t="shared" si="4"/>
        <v>1.3795717263596741E-2</v>
      </c>
      <c r="T110" s="62">
        <f t="shared" si="5"/>
        <v>2.4740965377811473E-2</v>
      </c>
    </row>
    <row r="111" spans="1:20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6">
        <v>12728</v>
      </c>
      <c r="G111" s="4">
        <v>381</v>
      </c>
      <c r="H111" s="4">
        <v>6443</v>
      </c>
      <c r="I111" s="4">
        <v>279672</v>
      </c>
      <c r="J111" s="4"/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6">
        <f t="shared" si="8"/>
        <v>7535</v>
      </c>
      <c r="R111" s="1">
        <f t="shared" si="7"/>
        <v>1.7982752155980501</v>
      </c>
      <c r="S111" s="72">
        <f t="shared" si="4"/>
        <v>1.3862106603601964E-2</v>
      </c>
      <c r="T111" s="62">
        <f t="shared" si="5"/>
        <v>2.4051063003591885E-2</v>
      </c>
    </row>
    <row r="112" spans="1:20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0">
        <v>13153</v>
      </c>
      <c r="G112" s="4">
        <v>397</v>
      </c>
      <c r="H112" s="4">
        <v>5719</v>
      </c>
      <c r="I112" s="7">
        <v>285391</v>
      </c>
      <c r="J112" s="7"/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6">
        <f t="shared" si="8"/>
        <v>7887</v>
      </c>
      <c r="R112" s="1">
        <f t="shared" si="7"/>
        <v>1.8650060639985073</v>
      </c>
      <c r="S112" s="72">
        <f t="shared" si="4"/>
        <v>1.3870933929632089E-2</v>
      </c>
      <c r="T112" s="62">
        <f t="shared" si="5"/>
        <v>2.3629776790931402E-2</v>
      </c>
    </row>
    <row r="113" spans="1:20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200">
        <v>13576</v>
      </c>
      <c r="G113" s="4">
        <v>414</v>
      </c>
      <c r="H113" s="4">
        <v>7120</v>
      </c>
      <c r="I113" s="7">
        <v>292511</v>
      </c>
      <c r="J113" s="7"/>
      <c r="K113" s="21">
        <v>790</v>
      </c>
      <c r="L113" s="21">
        <v>196839</v>
      </c>
      <c r="M113" s="4">
        <v>197629</v>
      </c>
      <c r="N113" s="16">
        <v>1050</v>
      </c>
      <c r="O113" s="16">
        <v>16924</v>
      </c>
      <c r="P113" s="16">
        <v>18537</v>
      </c>
      <c r="Q113" s="16">
        <f t="shared" si="8"/>
        <v>8420</v>
      </c>
      <c r="R113" s="1">
        <f t="shared" si="7"/>
        <v>1.9385972891840264</v>
      </c>
      <c r="S113" s="72">
        <f t="shared" si="4"/>
        <v>1.3657957244655582E-2</v>
      </c>
      <c r="T113" s="62">
        <f t="shared" si="5"/>
        <v>2.3213371614252964E-2</v>
      </c>
    </row>
    <row r="114" spans="1:20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0">
        <v>13816</v>
      </c>
      <c r="G114" s="4">
        <v>433</v>
      </c>
      <c r="H114" s="4">
        <v>7832</v>
      </c>
      <c r="I114" s="16">
        <v>300343</v>
      </c>
      <c r="J114" s="16"/>
      <c r="K114" s="21">
        <v>812</v>
      </c>
      <c r="L114" s="67">
        <v>202380</v>
      </c>
      <c r="M114" s="16">
        <v>203192</v>
      </c>
      <c r="N114" s="12">
        <v>1052</v>
      </c>
      <c r="O114" s="16">
        <v>17655</v>
      </c>
      <c r="P114" s="16">
        <v>19603</v>
      </c>
      <c r="Q114" s="16">
        <f t="shared" si="8"/>
        <v>8906</v>
      </c>
      <c r="R114" s="1">
        <f t="shared" si="7"/>
        <v>1.9468527830761226</v>
      </c>
      <c r="S114" s="72">
        <f t="shared" si="4"/>
        <v>1.3396448239589135E-2</v>
      </c>
      <c r="T114" s="62">
        <f t="shared" si="5"/>
        <v>2.2831243646221619E-2</v>
      </c>
    </row>
    <row r="115" spans="1:20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0">
        <v>14788</v>
      </c>
      <c r="G115" s="4">
        <v>457</v>
      </c>
      <c r="H115" s="4">
        <v>9258</v>
      </c>
      <c r="I115" s="4">
        <v>309601</v>
      </c>
      <c r="J115" s="4"/>
      <c r="K115" s="21">
        <v>832.92800000001444</v>
      </c>
      <c r="L115" s="21">
        <v>207399.07199999999</v>
      </c>
      <c r="M115" s="1">
        <v>208232</v>
      </c>
      <c r="N115" s="11">
        <v>1060</v>
      </c>
      <c r="O115" s="11">
        <v>18460</v>
      </c>
      <c r="P115" s="11">
        <v>20816</v>
      </c>
      <c r="Q115" s="16">
        <f t="shared" si="8"/>
        <v>9515</v>
      </c>
      <c r="R115" s="1">
        <f t="shared" si="7"/>
        <v>1.9797577567612412</v>
      </c>
      <c r="S115" s="72">
        <f t="shared" si="4"/>
        <v>1.3462161604854627E-2</v>
      </c>
      <c r="T115" s="62">
        <f t="shared" si="5"/>
        <v>2.2386712402960824E-2</v>
      </c>
    </row>
    <row r="116" spans="1:20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200">
        <v>18416</v>
      </c>
      <c r="G116" s="4">
        <v>472</v>
      </c>
      <c r="H116" s="4">
        <v>9120</v>
      </c>
      <c r="I116" s="4">
        <v>318721</v>
      </c>
      <c r="J116" s="4"/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6">
        <f t="shared" si="8"/>
        <v>10116</v>
      </c>
      <c r="R116" s="1">
        <f t="shared" si="7"/>
        <v>1.9796385447083893</v>
      </c>
      <c r="S116" s="72">
        <f t="shared" si="4"/>
        <v>1.4350430208871728E-2</v>
      </c>
      <c r="T116" s="62">
        <f t="shared" si="5"/>
        <v>2.1922717654459842E-2</v>
      </c>
    </row>
    <row r="117" spans="1:20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0">
        <v>19143</v>
      </c>
      <c r="G117" s="4">
        <v>507</v>
      </c>
      <c r="H117" s="4">
        <v>10315</v>
      </c>
      <c r="I117" s="4">
        <v>329036</v>
      </c>
      <c r="J117" s="4"/>
      <c r="K117" s="7">
        <v>874</v>
      </c>
      <c r="L117" s="7">
        <v>217766</v>
      </c>
      <c r="M117" s="4">
        <v>218640</v>
      </c>
      <c r="N117" s="12">
        <v>1061</v>
      </c>
      <c r="O117" s="12">
        <v>20095</v>
      </c>
      <c r="P117" s="12">
        <v>23464</v>
      </c>
      <c r="Q117" s="16">
        <f t="shared" si="8"/>
        <v>10723</v>
      </c>
      <c r="R117" s="1">
        <f t="shared" si="7"/>
        <v>1.9916822780067442</v>
      </c>
      <c r="S117" s="72">
        <f t="shared" si="4"/>
        <v>1.4479095270733379E-2</v>
      </c>
      <c r="T117" s="62">
        <f t="shared" si="5"/>
        <v>2.1393852881123176E-2</v>
      </c>
    </row>
    <row r="118" spans="1:20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200">
        <v>20134</v>
      </c>
      <c r="G118" s="4">
        <v>542</v>
      </c>
      <c r="H118" s="4">
        <v>7915</v>
      </c>
      <c r="I118" s="4">
        <v>336951</v>
      </c>
      <c r="J118" s="4"/>
      <c r="K118" s="7">
        <v>892.88399999999092</v>
      </c>
      <c r="L118" s="7">
        <v>222328.11600000001</v>
      </c>
      <c r="M118" s="4">
        <v>223221</v>
      </c>
      <c r="N118" s="12">
        <v>1062</v>
      </c>
      <c r="O118" s="4">
        <v>20807</v>
      </c>
      <c r="P118" s="4">
        <v>24743</v>
      </c>
      <c r="Q118" s="16">
        <f t="shared" si="8"/>
        <v>11132</v>
      </c>
      <c r="R118" s="1">
        <f t="shared" si="7"/>
        <v>1.9493643917335415</v>
      </c>
      <c r="S118" s="72">
        <f t="shared" si="4"/>
        <v>1.4888882784385903E-2</v>
      </c>
      <c r="T118" s="62">
        <f t="shared" si="5"/>
        <v>2.090260459961208E-2</v>
      </c>
    </row>
    <row r="119" spans="1:20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0">
        <v>21138</v>
      </c>
      <c r="G119" s="4">
        <v>535</v>
      </c>
      <c r="H119" s="4">
        <v>7458</v>
      </c>
      <c r="I119" s="4">
        <v>344409</v>
      </c>
      <c r="J119" s="4"/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6">
        <f t="shared" si="8"/>
        <v>11671</v>
      </c>
      <c r="R119" s="1">
        <f t="shared" si="7"/>
        <v>1.9255738150210511</v>
      </c>
      <c r="S119" s="72">
        <f t="shared" si="4"/>
        <v>1.4243118044832543E-2</v>
      </c>
      <c r="T119" s="62">
        <f t="shared" si="5"/>
        <v>2.057297315335458E-2</v>
      </c>
    </row>
    <row r="120" spans="1:20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200">
        <v>22028</v>
      </c>
      <c r="G120" s="4">
        <v>555</v>
      </c>
      <c r="H120" s="4">
        <v>7933</v>
      </c>
      <c r="I120" s="4">
        <v>350402</v>
      </c>
      <c r="J120" s="4"/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6">
        <f t="shared" si="8"/>
        <v>11587</v>
      </c>
      <c r="R120" s="1">
        <f t="shared" si="7"/>
        <v>1.9182173064411192</v>
      </c>
      <c r="S120" s="72">
        <f t="shared" si="4"/>
        <v>1.4245745527349264E-2</v>
      </c>
      <c r="T120" s="62">
        <f t="shared" si="5"/>
        <v>2.0572364617460013E-2</v>
      </c>
    </row>
    <row r="121" spans="1:20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0">
        <v>23040</v>
      </c>
      <c r="G121" s="4">
        <v>576</v>
      </c>
      <c r="H121" s="4">
        <v>10506</v>
      </c>
      <c r="I121" s="4">
        <v>362908</v>
      </c>
      <c r="J121" s="4"/>
      <c r="K121" s="7">
        <v>946</v>
      </c>
      <c r="L121" s="7">
        <f>M121-K121</f>
        <v>235617</v>
      </c>
      <c r="M121" s="4">
        <v>236563</v>
      </c>
      <c r="N121" s="16">
        <v>1065</v>
      </c>
      <c r="O121" s="4">
        <v>23565</v>
      </c>
      <c r="P121" s="16">
        <v>28732</v>
      </c>
      <c r="Q121" s="16">
        <f t="shared" si="8"/>
        <v>11168</v>
      </c>
      <c r="R121" s="1">
        <f t="shared" si="7"/>
        <v>1.9173611111111111</v>
      </c>
      <c r="S121" s="72">
        <f t="shared" si="4"/>
        <v>1.4334420028370206E-2</v>
      </c>
      <c r="T121" s="62">
        <f t="shared" si="5"/>
        <v>2.0254145358747869E-2</v>
      </c>
    </row>
    <row r="122" spans="1:20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200">
        <v>24186</v>
      </c>
      <c r="G122" s="4">
        <v>594</v>
      </c>
      <c r="H122" s="4">
        <v>9200</v>
      </c>
      <c r="I122" s="4">
        <v>372108</v>
      </c>
      <c r="J122" s="4"/>
      <c r="K122" s="7">
        <v>966</v>
      </c>
      <c r="L122" s="7">
        <v>240610</v>
      </c>
      <c r="M122" s="4">
        <v>246576</v>
      </c>
      <c r="N122" s="12">
        <v>1066</v>
      </c>
      <c r="O122" s="12">
        <v>24124</v>
      </c>
      <c r="P122" s="12">
        <v>30493</v>
      </c>
      <c r="Q122" s="16">
        <f t="shared" si="8"/>
        <v>11514</v>
      </c>
      <c r="R122" s="1">
        <f t="shared" si="7"/>
        <v>1.9433185949398182</v>
      </c>
      <c r="S122" s="72">
        <f t="shared" si="4"/>
        <v>1.4258281325012001E-2</v>
      </c>
      <c r="T122" s="62">
        <f t="shared" si="5"/>
        <v>2.0105064214176228E-2</v>
      </c>
    </row>
    <row r="123" spans="1:20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200">
        <v>25224</v>
      </c>
      <c r="G123" s="4">
        <v>620</v>
      </c>
      <c r="H123" s="4">
        <v>9323</v>
      </c>
      <c r="I123" s="4">
        <v>381431</v>
      </c>
      <c r="J123" s="4"/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6">
        <f t="shared" si="8"/>
        <v>11761</v>
      </c>
      <c r="R123" s="1">
        <f t="shared" si="7"/>
        <v>1.873216658002657</v>
      </c>
      <c r="S123" s="72">
        <f t="shared" si="4"/>
        <v>1.4308132557924859E-2</v>
      </c>
      <c r="T123" s="62">
        <f t="shared" si="5"/>
        <v>1.9802404884116612E-2</v>
      </c>
    </row>
    <row r="124" spans="1:20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200">
        <v>25930</v>
      </c>
      <c r="G124" s="1">
        <v>637</v>
      </c>
      <c r="H124" s="4">
        <v>8951</v>
      </c>
      <c r="I124" s="4">
        <v>390382</v>
      </c>
      <c r="J124" s="4"/>
      <c r="K124" s="7">
        <v>751</v>
      </c>
      <c r="L124" s="7">
        <v>249794</v>
      </c>
      <c r="M124" s="4">
        <f>L124+K124</f>
        <v>250545</v>
      </c>
      <c r="N124" s="12">
        <v>1068</v>
      </c>
      <c r="O124" s="12">
        <v>25848</v>
      </c>
      <c r="P124" s="12">
        <v>33867</v>
      </c>
      <c r="Q124" s="16">
        <f t="shared" si="8"/>
        <v>12003</v>
      </c>
      <c r="R124" s="1">
        <f t="shared" si="7"/>
        <v>1.792262450763503</v>
      </c>
      <c r="S124" s="72">
        <f t="shared" si="4"/>
        <v>1.4024967524604241E-2</v>
      </c>
      <c r="T124" s="62">
        <f t="shared" si="5"/>
        <v>1.9742807682796144E-2</v>
      </c>
    </row>
    <row r="125" spans="1:20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200">
        <v>27597</v>
      </c>
      <c r="G125" s="1">
        <v>658</v>
      </c>
      <c r="H125" s="4">
        <v>9072</v>
      </c>
      <c r="I125" s="4">
        <v>399454</v>
      </c>
      <c r="J125" s="4"/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6">
        <f>C125-P125-O125-N125</f>
        <v>12573</v>
      </c>
      <c r="R125" s="1">
        <f t="shared" si="7"/>
        <v>1.7812760633861551</v>
      </c>
      <c r="S125" s="72">
        <f t="shared" si="4"/>
        <v>1.4212276988206833E-2</v>
      </c>
      <c r="T125" s="62">
        <f t="shared" si="5"/>
        <v>1.9648163871789429E-2</v>
      </c>
    </row>
    <row r="126" spans="1:20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200">
        <v>28531</v>
      </c>
      <c r="G126" s="1">
        <v>676</v>
      </c>
      <c r="H126" s="4">
        <v>6756</v>
      </c>
      <c r="I126" s="4">
        <v>406210</v>
      </c>
      <c r="J126" s="4"/>
      <c r="K126" s="7">
        <v>776</v>
      </c>
      <c r="L126" s="7">
        <v>258025</v>
      </c>
      <c r="M126" s="4">
        <v>258801</v>
      </c>
      <c r="N126" s="12">
        <v>1072</v>
      </c>
      <c r="O126" s="12">
        <v>27239</v>
      </c>
      <c r="P126" s="12">
        <v>36235</v>
      </c>
      <c r="Q126" s="4">
        <f>77815-P126-O126-N126</f>
        <v>13269</v>
      </c>
      <c r="R126" s="1">
        <f t="shared" si="7"/>
        <v>1.7522885298384276</v>
      </c>
      <c r="S126" s="72">
        <f t="shared" si="4"/>
        <v>1.4149067542960001E-2</v>
      </c>
      <c r="T126" s="62">
        <f t="shared" si="5"/>
        <v>1.9366446057957978E-2</v>
      </c>
    </row>
    <row r="127" spans="1:20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200">
        <v>30095</v>
      </c>
      <c r="G127" s="1">
        <v>688</v>
      </c>
      <c r="H127" s="4">
        <v>8487</v>
      </c>
      <c r="I127" s="19">
        <v>414697</v>
      </c>
      <c r="J127" s="19"/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1">
        <f t="shared" si="7"/>
        <v>1.6665571770447185</v>
      </c>
      <c r="S127" s="72">
        <f t="shared" si="4"/>
        <v>1.41070330120976E-2</v>
      </c>
      <c r="T127" s="62">
        <f t="shared" si="5"/>
        <v>1.966512113565453E-2</v>
      </c>
    </row>
    <row r="128" spans="1:20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200">
        <v>36502</v>
      </c>
      <c r="G128" s="4">
        <v>646</v>
      </c>
      <c r="H128" s="4">
        <v>9805</v>
      </c>
      <c r="I128" s="19">
        <v>423782</v>
      </c>
      <c r="J128" s="19"/>
      <c r="K128" s="7">
        <v>803</v>
      </c>
      <c r="L128" s="7">
        <v>266938</v>
      </c>
      <c r="M128" s="4">
        <v>267741</v>
      </c>
      <c r="N128" s="12">
        <v>1074</v>
      </c>
      <c r="O128" s="12">
        <v>28792</v>
      </c>
      <c r="P128" s="12">
        <v>39718</v>
      </c>
      <c r="Q128" s="4">
        <f>83426-P128-O128-N128</f>
        <v>13842</v>
      </c>
      <c r="R128" s="1">
        <f t="shared" si="7"/>
        <v>1.6125584502338011</v>
      </c>
      <c r="S128" s="72">
        <f t="shared" si="4"/>
        <v>1.4266784452296819E-2</v>
      </c>
      <c r="T128" s="62">
        <f t="shared" si="5"/>
        <v>1.9706086831443436E-2</v>
      </c>
    </row>
    <row r="129" spans="1:20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200">
        <v>38313</v>
      </c>
      <c r="G129" s="4">
        <v>671</v>
      </c>
      <c r="H129" s="4">
        <v>10910</v>
      </c>
      <c r="I129" s="19">
        <v>434692</v>
      </c>
      <c r="J129" s="19"/>
      <c r="K129" s="7">
        <v>819</v>
      </c>
      <c r="L129" s="7">
        <v>272349</v>
      </c>
      <c r="M129" s="4">
        <v>273168</v>
      </c>
      <c r="N129" s="12">
        <v>1074</v>
      </c>
      <c r="O129" s="12">
        <v>29747</v>
      </c>
      <c r="P129" s="12">
        <v>41495</v>
      </c>
      <c r="Q129" s="4">
        <f>87030-P129-O129-N129</f>
        <v>14714</v>
      </c>
      <c r="R129" s="1">
        <f t="shared" si="7"/>
        <v>1.5579534026148174</v>
      </c>
      <c r="S129" s="72">
        <f t="shared" si="4"/>
        <v>1.4269916209433882E-2</v>
      </c>
      <c r="T129" s="62">
        <f t="shared" si="5"/>
        <v>1.9476042743881421E-2</v>
      </c>
    </row>
    <row r="130" spans="1:20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200">
        <v>38984</v>
      </c>
      <c r="G130" s="4">
        <v>662</v>
      </c>
      <c r="H130" s="4">
        <v>11041</v>
      </c>
      <c r="I130" s="19">
        <v>445733</v>
      </c>
      <c r="J130" s="19"/>
      <c r="K130" s="7">
        <v>836</v>
      </c>
      <c r="L130" s="7">
        <v>277811</v>
      </c>
      <c r="M130" s="4">
        <v>278647</v>
      </c>
      <c r="N130" s="12">
        <v>1076</v>
      </c>
      <c r="O130" s="12">
        <v>30597</v>
      </c>
      <c r="P130" s="12">
        <v>43374</v>
      </c>
      <c r="Q130" s="4">
        <f>90693-P130-O130-N130</f>
        <v>15646</v>
      </c>
      <c r="R130" s="1">
        <f t="shared" si="7"/>
        <v>1.5243182905437729</v>
      </c>
      <c r="S130" s="72">
        <f t="shared" si="4"/>
        <v>1.3243178362807074E-2</v>
      </c>
      <c r="T130" s="62">
        <f t="shared" si="5"/>
        <v>1.8976106204447972E-2</v>
      </c>
    </row>
    <row r="131" spans="1:20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200">
        <v>41408</v>
      </c>
      <c r="G131" s="4">
        <v>686</v>
      </c>
      <c r="H131" s="4">
        <v>10309</v>
      </c>
      <c r="I131" s="19">
        <v>456042</v>
      </c>
      <c r="J131" s="19"/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1">
        <f t="shared" si="7"/>
        <v>1.456676323413221</v>
      </c>
      <c r="S131" s="72">
        <f t="shared" si="4"/>
        <v>1.3483499420170214E-2</v>
      </c>
      <c r="T131" s="62">
        <f t="shared" si="5"/>
        <v>1.8870933446736127E-2</v>
      </c>
    </row>
    <row r="132" spans="1:20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200">
        <v>42694</v>
      </c>
      <c r="G132" s="4">
        <v>701</v>
      </c>
      <c r="H132" s="4">
        <v>10266</v>
      </c>
      <c r="I132" s="4">
        <v>466308</v>
      </c>
      <c r="J132" s="4"/>
      <c r="K132" s="7">
        <v>867</v>
      </c>
      <c r="L132" s="7">
        <v>288165</v>
      </c>
      <c r="M132" s="4">
        <f>L132+K132</f>
        <v>289032</v>
      </c>
      <c r="N132" s="12">
        <v>1080</v>
      </c>
      <c r="O132" s="12">
        <v>32616</v>
      </c>
      <c r="P132" s="12">
        <v>46824</v>
      </c>
      <c r="Q132" s="12">
        <v>16989</v>
      </c>
      <c r="R132" s="1">
        <f t="shared" si="7"/>
        <v>1.4486866552515574</v>
      </c>
      <c r="S132" s="72">
        <f t="shared" si="4"/>
        <v>1.3225416949664176E-2</v>
      </c>
      <c r="T132" s="62">
        <f t="shared" si="5"/>
        <v>1.8572644576398074E-2</v>
      </c>
    </row>
    <row r="133" spans="1:20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200">
        <v>44173</v>
      </c>
      <c r="G133" s="4">
        <v>735</v>
      </c>
      <c r="H133" s="4">
        <v>8114</v>
      </c>
      <c r="I133" s="4">
        <v>474422</v>
      </c>
      <c r="J133" s="4"/>
      <c r="K133" s="7">
        <v>879</v>
      </c>
      <c r="L133" s="7">
        <v>292418</v>
      </c>
      <c r="M133" s="4">
        <f>L133+K133</f>
        <v>293297</v>
      </c>
      <c r="N133" s="12">
        <v>1081</v>
      </c>
      <c r="O133" s="12">
        <v>33376</v>
      </c>
      <c r="P133" s="12">
        <v>48213</v>
      </c>
      <c r="Q133" s="4">
        <f>100166-P133-O133-N133</f>
        <v>17496</v>
      </c>
      <c r="R133" s="1">
        <f t="shared" si="7"/>
        <v>1.4188531527719002</v>
      </c>
      <c r="S133" s="72">
        <f t="shared" si="4"/>
        <v>1.3573908546945408E-2</v>
      </c>
      <c r="T133" s="62">
        <f t="shared" si="5"/>
        <v>1.8419423756564104E-2</v>
      </c>
    </row>
    <row r="134" spans="1:20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200">
        <v>45467</v>
      </c>
      <c r="G134" s="4">
        <v>752</v>
      </c>
      <c r="H134" s="4">
        <v>9377</v>
      </c>
      <c r="I134" s="4">
        <v>483799</v>
      </c>
      <c r="J134" s="4"/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1">
        <f t="shared" si="7"/>
        <v>1.3905301360105822</v>
      </c>
      <c r="S134" s="72">
        <f t="shared" si="4"/>
        <v>1.3453797298506128E-2</v>
      </c>
      <c r="T134" s="62">
        <f t="shared" si="5"/>
        <v>1.8428315498958989E-2</v>
      </c>
    </row>
    <row r="135" spans="1:20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200">
        <v>47298</v>
      </c>
      <c r="G135" s="4">
        <v>772</v>
      </c>
      <c r="H135" s="4">
        <v>11266</v>
      </c>
      <c r="I135" s="4">
        <v>495065</v>
      </c>
      <c r="J135" s="4"/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1">
        <f t="shared" si="7"/>
        <v>1.395410095156564</v>
      </c>
      <c r="S135" s="72">
        <f t="shared" si="4"/>
        <v>1.3392547359655818E-2</v>
      </c>
      <c r="T135" s="62">
        <f t="shared" si="5"/>
        <v>1.840800673463661E-2</v>
      </c>
    </row>
    <row r="136" spans="1:20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200">
        <v>49120</v>
      </c>
      <c r="G136" s="4">
        <v>783</v>
      </c>
      <c r="H136" s="4">
        <v>13163</v>
      </c>
      <c r="I136" s="4">
        <v>508228</v>
      </c>
      <c r="J136" s="4"/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1">
        <f t="shared" si="7"/>
        <v>1.3892558066045191</v>
      </c>
      <c r="S136" s="72">
        <f t="shared" si="4"/>
        <v>1.3052175362560427E-2</v>
      </c>
      <c r="T136" s="62">
        <f t="shared" si="5"/>
        <v>1.8441885570349047E-2</v>
      </c>
    </row>
    <row r="137" spans="1:20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200">
        <v>49780</v>
      </c>
      <c r="G137" s="7">
        <v>793</v>
      </c>
      <c r="H137" s="7">
        <v>11053</v>
      </c>
      <c r="I137" s="7">
        <v>519281</v>
      </c>
      <c r="J137" s="7"/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1">
        <f t="shared" si="7"/>
        <v>1.382720236810459</v>
      </c>
      <c r="S137" s="72">
        <f t="shared" si="4"/>
        <v>1.2609117361784675E-2</v>
      </c>
      <c r="T137" s="62">
        <f t="shared" si="5"/>
        <v>1.8399937272941116E-2</v>
      </c>
    </row>
    <row r="138" spans="1:20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200">
        <v>49780</v>
      </c>
      <c r="G138" s="7">
        <v>823</v>
      </c>
      <c r="H138" s="7">
        <v>12472</v>
      </c>
      <c r="I138" s="7">
        <v>531753</v>
      </c>
      <c r="J138" s="7"/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1">
        <f t="shared" si="7"/>
        <v>1.4004094412331407</v>
      </c>
      <c r="S138" s="72">
        <f t="shared" si="4"/>
        <v>1.2221017774675913E-2</v>
      </c>
      <c r="T138" s="62">
        <f t="shared" si="5"/>
        <v>1.825634319913496E-2</v>
      </c>
    </row>
    <row r="139" spans="1:20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200">
        <v>52607</v>
      </c>
      <c r="G139" s="7">
        <v>824</v>
      </c>
      <c r="H139" s="40">
        <v>9485</v>
      </c>
      <c r="I139" s="7">
        <v>541238</v>
      </c>
      <c r="J139" s="7"/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1">
        <f t="shared" si="7"/>
        <v>1.3821549806859419</v>
      </c>
      <c r="S139" s="72">
        <f t="shared" si="4"/>
        <v>1.2157157821744199E-2</v>
      </c>
      <c r="T139" s="62">
        <f t="shared" si="5"/>
        <v>1.8106781071073195E-2</v>
      </c>
    </row>
    <row r="140" spans="1:20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200">
        <v>55913</v>
      </c>
      <c r="G140" s="4">
        <v>842</v>
      </c>
      <c r="H140" s="19">
        <v>11068</v>
      </c>
      <c r="I140" s="4">
        <v>552306</v>
      </c>
      <c r="J140" s="4"/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1">
        <f t="shared" si="7"/>
        <v>1.3994576077647731</v>
      </c>
      <c r="S140" s="72">
        <f t="shared" si="4"/>
        <v>1.2262612140277292E-2</v>
      </c>
      <c r="T140" s="62">
        <f t="shared" si="5"/>
        <v>1.7818144547726608E-2</v>
      </c>
    </row>
    <row r="141" spans="1:20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9">E140+D141</f>
        <v>2373</v>
      </c>
      <c r="F141" s="200">
        <v>58598</v>
      </c>
      <c r="G141" s="4">
        <v>853</v>
      </c>
      <c r="H141" s="4">
        <v>11207</v>
      </c>
      <c r="I141" s="4">
        <v>563513</v>
      </c>
      <c r="J141" s="4"/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1">
        <f t="shared" si="7"/>
        <v>1.4170514697601082</v>
      </c>
      <c r="S141" s="72">
        <f t="shared" si="4"/>
        <v>1.2220105153073649E-2</v>
      </c>
      <c r="T141" s="62">
        <f t="shared" si="5"/>
        <v>1.8145808799914356E-2</v>
      </c>
    </row>
    <row r="142" spans="1:20" x14ac:dyDescent="0.25">
      <c r="A142" s="2">
        <v>44033</v>
      </c>
      <c r="B142" s="16">
        <v>5344</v>
      </c>
      <c r="C142" s="7">
        <f t="shared" ref="C142:C154" si="10">C141+B142</f>
        <v>136118</v>
      </c>
      <c r="D142" s="4">
        <v>117</v>
      </c>
      <c r="E142" s="7">
        <f t="shared" si="9"/>
        <v>2490</v>
      </c>
      <c r="F142" s="200">
        <v>60531</v>
      </c>
      <c r="G142" s="4">
        <v>890</v>
      </c>
      <c r="H142" s="41">
        <v>14689</v>
      </c>
      <c r="I142" s="4">
        <v>578202</v>
      </c>
      <c r="J142" s="4"/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1">
        <f t="shared" si="7"/>
        <v>1.4552057442695387</v>
      </c>
      <c r="S142" s="72">
        <f t="shared" ref="S142:S160" si="11">G142/(C142-E142-F142)</f>
        <v>1.2175602281899393E-2</v>
      </c>
      <c r="T142" s="62">
        <f t="shared" si="5"/>
        <v>1.8292951703668875E-2</v>
      </c>
    </row>
    <row r="143" spans="1:20" x14ac:dyDescent="0.25">
      <c r="A143" s="2">
        <v>44034</v>
      </c>
      <c r="B143" s="16">
        <v>5782</v>
      </c>
      <c r="C143" s="7">
        <f t="shared" si="10"/>
        <v>141900</v>
      </c>
      <c r="D143" s="4">
        <v>98</v>
      </c>
      <c r="E143" s="7">
        <f t="shared" si="9"/>
        <v>2588</v>
      </c>
      <c r="F143" s="200">
        <v>62815</v>
      </c>
      <c r="G143" s="4">
        <v>902</v>
      </c>
      <c r="H143" s="41">
        <v>14842</v>
      </c>
      <c r="I143" s="4">
        <f>I142+H143</f>
        <v>593044</v>
      </c>
      <c r="J143" s="4"/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1">
        <f t="shared" si="7"/>
        <v>1.4758600285107182</v>
      </c>
      <c r="S143" s="72">
        <f t="shared" si="11"/>
        <v>1.1791312077597814E-2</v>
      </c>
      <c r="T143" s="62">
        <f t="shared" ref="T143:T196" si="12">E143/C143</f>
        <v>1.8238195912614517E-2</v>
      </c>
    </row>
    <row r="144" spans="1:20" x14ac:dyDescent="0.25">
      <c r="A144" s="2">
        <v>44035</v>
      </c>
      <c r="B144" s="43">
        <v>6127</v>
      </c>
      <c r="C144" s="7">
        <f t="shared" si="10"/>
        <v>148027</v>
      </c>
      <c r="D144" s="4">
        <f>29+85</f>
        <v>114</v>
      </c>
      <c r="E144" s="7">
        <f t="shared" si="9"/>
        <v>2702</v>
      </c>
      <c r="F144" s="200">
        <v>65447</v>
      </c>
      <c r="G144" s="4">
        <v>913</v>
      </c>
      <c r="H144" s="12">
        <v>16218</v>
      </c>
      <c r="I144" s="4">
        <v>609262</v>
      </c>
      <c r="J144" s="4"/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1">
        <f t="shared" si="7"/>
        <v>1.4995030860968719</v>
      </c>
      <c r="S144" s="72">
        <f t="shared" si="11"/>
        <v>1.1429930644232455E-2</v>
      </c>
      <c r="T144" s="62">
        <f t="shared" si="12"/>
        <v>1.8253426739716402E-2</v>
      </c>
    </row>
    <row r="145" spans="1:20" x14ac:dyDescent="0.25">
      <c r="A145" s="2">
        <v>44036</v>
      </c>
      <c r="B145" s="4">
        <v>5493</v>
      </c>
      <c r="C145" s="7">
        <f t="shared" si="10"/>
        <v>153520</v>
      </c>
      <c r="D145" s="4">
        <f>20+85</f>
        <v>105</v>
      </c>
      <c r="E145" s="7">
        <f t="shared" si="9"/>
        <v>2807</v>
      </c>
      <c r="F145" s="200">
        <v>68022</v>
      </c>
      <c r="G145" s="4">
        <v>955</v>
      </c>
      <c r="H145" s="19">
        <v>14631</v>
      </c>
      <c r="I145" s="4">
        <f>I144+H145</f>
        <v>623893</v>
      </c>
      <c r="J145" s="4"/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1">
        <f t="shared" si="7"/>
        <v>1.5357853139447786</v>
      </c>
      <c r="S145" s="72">
        <f t="shared" si="11"/>
        <v>1.1549019844964991E-2</v>
      </c>
      <c r="T145" s="62">
        <f t="shared" si="12"/>
        <v>1.8284262636789995E-2</v>
      </c>
    </row>
    <row r="146" spans="1:20" x14ac:dyDescent="0.25">
      <c r="A146" s="2">
        <v>44037</v>
      </c>
      <c r="B146" s="4">
        <v>4814</v>
      </c>
      <c r="C146" s="7">
        <f t="shared" si="10"/>
        <v>158334</v>
      </c>
      <c r="D146" s="4">
        <v>86</v>
      </c>
      <c r="E146" s="7">
        <f t="shared" si="9"/>
        <v>2893</v>
      </c>
      <c r="F146" s="200">
        <v>70518</v>
      </c>
      <c r="G146" s="4">
        <v>980</v>
      </c>
      <c r="H146" s="4">
        <v>12951</v>
      </c>
      <c r="I146" s="4">
        <v>636844</v>
      </c>
      <c r="J146" s="4"/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1">
        <f t="shared" si="7"/>
        <v>1.5296366151137935</v>
      </c>
      <c r="S146" s="72">
        <f t="shared" si="11"/>
        <v>1.1539865525240512E-2</v>
      </c>
      <c r="T146" s="62">
        <f t="shared" si="12"/>
        <v>1.8271502014728359E-2</v>
      </c>
    </row>
    <row r="147" spans="1:20" x14ac:dyDescent="0.25">
      <c r="A147" s="2">
        <v>44038</v>
      </c>
      <c r="B147" s="4">
        <v>4192</v>
      </c>
      <c r="C147" s="7">
        <f t="shared" si="10"/>
        <v>162526</v>
      </c>
      <c r="D147" s="4">
        <v>45</v>
      </c>
      <c r="E147" s="7">
        <f>E146+D147</f>
        <v>2938</v>
      </c>
      <c r="F147" s="200">
        <v>72575</v>
      </c>
      <c r="G147" s="4">
        <v>993</v>
      </c>
      <c r="H147" s="4">
        <v>10870</v>
      </c>
      <c r="I147" s="19">
        <v>647714</v>
      </c>
      <c r="J147" s="19"/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1">
        <f t="shared" si="7"/>
        <v>1.5499962717172471</v>
      </c>
      <c r="S147" s="72">
        <f t="shared" si="11"/>
        <v>1.1412087848942112E-2</v>
      </c>
      <c r="T147" s="62">
        <f t="shared" si="12"/>
        <v>1.8077107662773956E-2</v>
      </c>
    </row>
    <row r="148" spans="1:20" x14ac:dyDescent="0.25">
      <c r="A148" s="73">
        <v>44039</v>
      </c>
      <c r="B148" s="4">
        <v>4890</v>
      </c>
      <c r="C148" s="7">
        <f t="shared" si="10"/>
        <v>167416</v>
      </c>
      <c r="D148" s="7">
        <f>17+104</f>
        <v>121</v>
      </c>
      <c r="E148" s="7">
        <f>E147+D148</f>
        <v>3059</v>
      </c>
      <c r="F148" s="200">
        <v>75083</v>
      </c>
      <c r="G148" s="4">
        <v>1002</v>
      </c>
      <c r="H148" s="4">
        <v>12398</v>
      </c>
      <c r="I148" s="19">
        <f>I147+H148</f>
        <v>660112</v>
      </c>
      <c r="J148" s="19"/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1">
        <f t="shared" si="7"/>
        <v>1.564797424201771</v>
      </c>
      <c r="S148" s="72">
        <f t="shared" si="11"/>
        <v>1.1223872572081458E-2</v>
      </c>
      <c r="T148" s="62">
        <f t="shared" si="12"/>
        <v>1.8271849763463469E-2</v>
      </c>
    </row>
    <row r="149" spans="1:20" x14ac:dyDescent="0.25">
      <c r="A149" s="2">
        <v>44040</v>
      </c>
      <c r="B149" s="4">
        <v>5939</v>
      </c>
      <c r="C149" s="7">
        <f t="shared" si="10"/>
        <v>173355</v>
      </c>
      <c r="D149" s="7">
        <f>23+97</f>
        <v>120</v>
      </c>
      <c r="E149" s="7">
        <v>3178</v>
      </c>
      <c r="F149" s="200">
        <v>77855</v>
      </c>
      <c r="G149" s="4">
        <v>1024</v>
      </c>
      <c r="H149" s="4">
        <v>14899</v>
      </c>
      <c r="I149" s="19">
        <v>675011</v>
      </c>
      <c r="J149" s="19"/>
      <c r="K149" s="7">
        <f t="shared" ref="K149:K202" si="13">M149-L149</f>
        <v>785.48800000001211</v>
      </c>
      <c r="L149" s="7">
        <f t="shared" ref="L149:L178" si="14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1">
        <f t="shared" si="7"/>
        <v>1.5678621991505426</v>
      </c>
      <c r="S149" s="72">
        <f t="shared" si="11"/>
        <v>1.1091614133142696E-2</v>
      </c>
      <c r="T149" s="62">
        <f t="shared" si="12"/>
        <v>1.8332323844134867E-2</v>
      </c>
    </row>
    <row r="150" spans="1:20" x14ac:dyDescent="0.25">
      <c r="A150" s="2">
        <v>44041</v>
      </c>
      <c r="B150" s="7">
        <v>5641</v>
      </c>
      <c r="C150" s="7">
        <f t="shared" si="10"/>
        <v>178996</v>
      </c>
      <c r="D150" s="4">
        <v>110</v>
      </c>
      <c r="E150" s="7">
        <f>E149+D150</f>
        <v>3288</v>
      </c>
      <c r="F150" s="200">
        <v>80596</v>
      </c>
      <c r="G150" s="4">
        <v>1057</v>
      </c>
      <c r="H150" s="4">
        <v>15812</v>
      </c>
      <c r="I150" s="19">
        <v>690823</v>
      </c>
      <c r="J150" s="19"/>
      <c r="K150" s="7">
        <f t="shared" si="13"/>
        <v>801.66200000001118</v>
      </c>
      <c r="L150" s="7">
        <f t="shared" si="14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1">
        <f t="shared" si="7"/>
        <v>1.543047562723199</v>
      </c>
      <c r="S150" s="72">
        <f t="shared" si="11"/>
        <v>1.1113213895197241E-2</v>
      </c>
      <c r="T150" s="62">
        <f t="shared" si="12"/>
        <v>1.8369125567051777E-2</v>
      </c>
    </row>
    <row r="151" spans="1:20" x14ac:dyDescent="0.25">
      <c r="A151" s="2">
        <v>44042</v>
      </c>
      <c r="B151" s="4">
        <v>6377</v>
      </c>
      <c r="C151" s="7">
        <f t="shared" si="10"/>
        <v>185373</v>
      </c>
      <c r="D151" s="4">
        <f>23+131</f>
        <v>154</v>
      </c>
      <c r="E151" s="7">
        <f>E150+D151</f>
        <v>3442</v>
      </c>
      <c r="F151" s="200">
        <v>83780</v>
      </c>
      <c r="G151" s="4">
        <v>1076</v>
      </c>
      <c r="H151" s="4">
        <v>16685</v>
      </c>
      <c r="I151" s="4">
        <v>707508</v>
      </c>
      <c r="J151" s="4"/>
      <c r="K151" s="7">
        <f t="shared" si="13"/>
        <v>818.0800000000163</v>
      </c>
      <c r="L151" s="7">
        <f t="shared" si="14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1">
        <f t="shared" si="7"/>
        <v>1.5741587315746046</v>
      </c>
      <c r="S151" s="72">
        <f t="shared" si="11"/>
        <v>1.0962700329084777E-2</v>
      </c>
      <c r="T151" s="62">
        <f t="shared" si="12"/>
        <v>1.8567968366482713E-2</v>
      </c>
    </row>
    <row r="152" spans="1:20" x14ac:dyDescent="0.25">
      <c r="A152" s="2">
        <v>44043</v>
      </c>
      <c r="B152" s="4">
        <v>5929</v>
      </c>
      <c r="C152" s="7">
        <f t="shared" si="10"/>
        <v>191302</v>
      </c>
      <c r="D152" s="4">
        <f>25+77</f>
        <v>102</v>
      </c>
      <c r="E152" s="7">
        <f>E151+D152</f>
        <v>3544</v>
      </c>
      <c r="F152" s="200">
        <v>86499</v>
      </c>
      <c r="G152" s="4">
        <v>1104</v>
      </c>
      <c r="H152" s="4">
        <v>15442</v>
      </c>
      <c r="I152" s="4">
        <f>I151+H152</f>
        <v>722950</v>
      </c>
      <c r="J152" s="4"/>
      <c r="K152" s="7">
        <f t="shared" si="13"/>
        <v>833.97600000002421</v>
      </c>
      <c r="L152" s="7">
        <f t="shared" si="14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1">
        <f t="shared" si="7"/>
        <v>1.5478759996560325</v>
      </c>
      <c r="S152" s="72">
        <f t="shared" si="11"/>
        <v>1.0902734571741771E-2</v>
      </c>
      <c r="T152" s="62">
        <f t="shared" si="12"/>
        <v>1.852568190609612E-2</v>
      </c>
    </row>
    <row r="153" spans="1:20" x14ac:dyDescent="0.25">
      <c r="A153" s="2">
        <v>44044</v>
      </c>
      <c r="B153" s="7">
        <v>5241</v>
      </c>
      <c r="C153" s="7">
        <f t="shared" si="10"/>
        <v>196543</v>
      </c>
      <c r="D153" s="4">
        <f>15+38</f>
        <v>53</v>
      </c>
      <c r="E153" s="7">
        <v>3596</v>
      </c>
      <c r="F153" s="200">
        <v>89026</v>
      </c>
      <c r="G153" s="4">
        <v>1128</v>
      </c>
      <c r="H153" s="4">
        <v>13057</v>
      </c>
      <c r="I153" s="4">
        <v>736007</v>
      </c>
      <c r="J153" s="4"/>
      <c r="K153" s="7">
        <f t="shared" si="13"/>
        <v>846.24599999998463</v>
      </c>
      <c r="L153" s="7">
        <f t="shared" si="14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1">
        <f t="shared" si="7"/>
        <v>1.5654337193792212</v>
      </c>
      <c r="S153" s="72">
        <f t="shared" si="11"/>
        <v>1.0854399014636118E-2</v>
      </c>
      <c r="T153" s="62">
        <f t="shared" si="12"/>
        <v>1.8296250693232523E-2</v>
      </c>
    </row>
    <row r="154" spans="1:20" x14ac:dyDescent="0.25">
      <c r="A154" s="2">
        <v>44045</v>
      </c>
      <c r="B154" s="4">
        <v>5376</v>
      </c>
      <c r="C154" s="7">
        <f t="shared" si="10"/>
        <v>201919</v>
      </c>
      <c r="D154" s="4">
        <f>15+36</f>
        <v>51</v>
      </c>
      <c r="E154" s="7">
        <f t="shared" ref="E154:E171" si="15">E153+D154</f>
        <v>3647</v>
      </c>
      <c r="F154" s="200">
        <v>91302</v>
      </c>
      <c r="G154" s="4">
        <v>1112</v>
      </c>
      <c r="H154" s="4">
        <v>11900</v>
      </c>
      <c r="I154" s="4">
        <v>747907</v>
      </c>
      <c r="J154" s="4"/>
      <c r="K154" s="7">
        <f t="shared" si="13"/>
        <v>856.68800000002375</v>
      </c>
      <c r="L154" s="7">
        <f t="shared" si="14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1">
        <f t="shared" si="7"/>
        <v>1.531566815576362</v>
      </c>
      <c r="S154" s="72">
        <f t="shared" si="11"/>
        <v>1.0395437973263533E-2</v>
      </c>
      <c r="T154" s="62">
        <f t="shared" si="12"/>
        <v>1.8061698007616915E-2</v>
      </c>
    </row>
    <row r="155" spans="1:20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5"/>
        <v>3811</v>
      </c>
      <c r="F155" s="200">
        <v>94129</v>
      </c>
      <c r="G155" s="4">
        <v>1150</v>
      </c>
      <c r="H155" s="4">
        <v>12839</v>
      </c>
      <c r="I155" s="4">
        <v>760746</v>
      </c>
      <c r="J155" s="4"/>
      <c r="K155" s="7">
        <f t="shared" si="13"/>
        <v>869.87800000002608</v>
      </c>
      <c r="L155" s="7">
        <f t="shared" si="14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1">
        <f t="shared" si="7"/>
        <v>1.5094778254649501</v>
      </c>
      <c r="S155" s="72">
        <f t="shared" si="11"/>
        <v>1.0569561501061552E-2</v>
      </c>
      <c r="T155" s="62">
        <f t="shared" si="12"/>
        <v>1.8433514073027867E-2</v>
      </c>
    </row>
    <row r="156" spans="1:20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15"/>
        <v>3979</v>
      </c>
      <c r="F156" s="200">
        <v>96948</v>
      </c>
      <c r="G156" s="4">
        <v>1207</v>
      </c>
      <c r="H156" s="4">
        <v>16532</v>
      </c>
      <c r="I156" s="4">
        <f>I155+H156</f>
        <v>777278</v>
      </c>
      <c r="J156" s="4"/>
      <c r="K156" s="7">
        <f t="shared" si="13"/>
        <v>885.76199999998789</v>
      </c>
      <c r="L156" s="7">
        <f t="shared" si="14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1">
        <f t="shared" ref="R156:R219" si="16">AVERAGE(B143:B156)/AVERAGE(B129:B142)</f>
        <v>1.4692084337578049</v>
      </c>
      <c r="S156" s="72">
        <f t="shared" si="11"/>
        <v>1.0718599033816426E-2</v>
      </c>
      <c r="T156" s="62">
        <f t="shared" si="12"/>
        <v>1.8633947596412764E-2</v>
      </c>
    </row>
    <row r="157" spans="1:20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5"/>
        <v>4106</v>
      </c>
      <c r="F157" s="200">
        <v>99852</v>
      </c>
      <c r="G157" s="4">
        <v>1219</v>
      </c>
      <c r="H157" s="4">
        <v>17266</v>
      </c>
      <c r="I157" s="4">
        <f>I156+H157</f>
        <v>794544</v>
      </c>
      <c r="J157" s="4"/>
      <c r="K157" s="7">
        <f t="shared" si="13"/>
        <v>902.90999999997439</v>
      </c>
      <c r="L157" s="7">
        <f t="shared" si="14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1">
        <f t="shared" si="16"/>
        <v>1.4357675274735291</v>
      </c>
      <c r="S157" s="72">
        <f t="shared" si="11"/>
        <v>1.0443439224152702E-2</v>
      </c>
      <c r="T157" s="62">
        <f t="shared" si="12"/>
        <v>1.8605957894164454E-2</v>
      </c>
    </row>
    <row r="158" spans="1:20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5"/>
        <v>4251</v>
      </c>
      <c r="F158" s="200">
        <v>103297</v>
      </c>
      <c r="G158" s="4">
        <v>1245</v>
      </c>
      <c r="H158" s="4">
        <v>18020</v>
      </c>
      <c r="I158" s="4">
        <v>812564</v>
      </c>
      <c r="J158" s="4"/>
      <c r="K158" s="7">
        <f t="shared" si="13"/>
        <v>919.37199999997392</v>
      </c>
      <c r="L158" s="7">
        <f t="shared" si="14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1">
        <f t="shared" si="16"/>
        <v>1.3982384233016483</v>
      </c>
      <c r="S158" s="72">
        <f t="shared" si="11"/>
        <v>1.0319361442887101E-2</v>
      </c>
      <c r="T158" s="62">
        <f t="shared" si="12"/>
        <v>1.8628804312101493E-2</v>
      </c>
    </row>
    <row r="159" spans="1:20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15"/>
        <v>4411</v>
      </c>
      <c r="F159" s="200">
        <v>108242</v>
      </c>
      <c r="G159" s="4">
        <v>1293</v>
      </c>
      <c r="H159" s="4">
        <v>17493</v>
      </c>
      <c r="I159" s="4">
        <f>I158+H159</f>
        <v>830057</v>
      </c>
      <c r="J159" s="4"/>
      <c r="K159" s="7">
        <f t="shared" si="13"/>
        <v>940.32600000000093</v>
      </c>
      <c r="L159" s="7">
        <f t="shared" si="14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1">
        <f t="shared" si="16"/>
        <v>1.3816955651603573</v>
      </c>
      <c r="S159" s="72">
        <f t="shared" si="11"/>
        <v>1.0510144362075693E-2</v>
      </c>
      <c r="T159" s="62">
        <f t="shared" si="12"/>
        <v>1.8716293910733758E-2</v>
      </c>
    </row>
    <row r="160" spans="1:20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si="15"/>
        <v>4523</v>
      </c>
      <c r="F160" s="200">
        <v>170109</v>
      </c>
      <c r="G160" s="4">
        <v>1502</v>
      </c>
      <c r="H160" s="4">
        <v>15163</v>
      </c>
      <c r="I160" s="4">
        <v>845220</v>
      </c>
      <c r="J160" s="4"/>
      <c r="K160" s="7">
        <f t="shared" si="13"/>
        <v>955.79399999999441</v>
      </c>
      <c r="L160" s="7">
        <f t="shared" si="14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1">
        <f t="shared" si="16"/>
        <v>1.3723900963403808</v>
      </c>
      <c r="S160" s="72">
        <f t="shared" si="11"/>
        <v>2.2358177406630049E-2</v>
      </c>
      <c r="T160" s="62">
        <f t="shared" si="12"/>
        <v>1.870469085360054E-2</v>
      </c>
    </row>
    <row r="161" spans="1:20" x14ac:dyDescent="0.25">
      <c r="A161" s="2">
        <v>44052</v>
      </c>
      <c r="B161" s="12">
        <v>4688</v>
      </c>
      <c r="C161" s="7">
        <f t="shared" ref="C161:C224" si="17">C160+B161</f>
        <v>246499</v>
      </c>
      <c r="D161" s="4">
        <v>83</v>
      </c>
      <c r="E161" s="7">
        <f t="shared" si="15"/>
        <v>4606</v>
      </c>
      <c r="F161" s="200">
        <v>174974</v>
      </c>
      <c r="G161" s="4">
        <v>1565</v>
      </c>
      <c r="H161" s="4">
        <v>10835</v>
      </c>
      <c r="I161" s="4">
        <v>856055</v>
      </c>
      <c r="J161" s="4"/>
      <c r="K161" s="7">
        <f t="shared" si="13"/>
        <v>966.1020000000135</v>
      </c>
      <c r="L161" s="7">
        <f t="shared" si="14"/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1">
        <f t="shared" si="16"/>
        <v>1.3465627555683839</v>
      </c>
      <c r="S161" s="72">
        <f>G161/(C161-E161-F161)</f>
        <v>2.3386482165005454E-2</v>
      </c>
      <c r="T161" s="62">
        <f t="shared" si="12"/>
        <v>1.8685674181233999E-2</v>
      </c>
    </row>
    <row r="162" spans="1:20" x14ac:dyDescent="0.25">
      <c r="A162" s="73">
        <v>44053</v>
      </c>
      <c r="B162" s="12">
        <v>7369</v>
      </c>
      <c r="C162" s="7">
        <f t="shared" si="17"/>
        <v>253868</v>
      </c>
      <c r="D162" s="4">
        <f>27+131</f>
        <v>158</v>
      </c>
      <c r="E162" s="7">
        <f t="shared" si="15"/>
        <v>4764</v>
      </c>
      <c r="F162" s="200">
        <v>181398</v>
      </c>
      <c r="G162" s="4">
        <v>1569</v>
      </c>
      <c r="H162" s="4">
        <v>16588</v>
      </c>
      <c r="I162" s="4">
        <v>872643</v>
      </c>
      <c r="J162" s="4"/>
      <c r="K162" s="7">
        <f t="shared" si="13"/>
        <v>983.05200000002515</v>
      </c>
      <c r="L162" s="7">
        <f t="shared" si="14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1">
        <f t="shared" si="16"/>
        <v>1.3476119216859956</v>
      </c>
      <c r="S162" s="72">
        <f t="shared" ref="S162:S225" si="18">G162/(C162-E162-F162)</f>
        <v>2.3173721679024015E-2</v>
      </c>
      <c r="T162" s="62">
        <f t="shared" si="12"/>
        <v>1.8765657743394205E-2</v>
      </c>
    </row>
    <row r="163" spans="1:20" x14ac:dyDescent="0.25">
      <c r="A163" s="2">
        <v>44054</v>
      </c>
      <c r="B163" s="12">
        <v>7043</v>
      </c>
      <c r="C163" s="7">
        <f t="shared" si="17"/>
        <v>260911</v>
      </c>
      <c r="D163" s="4">
        <f>21+220</f>
        <v>241</v>
      </c>
      <c r="E163" s="7">
        <f t="shared" si="15"/>
        <v>5005</v>
      </c>
      <c r="F163" s="200">
        <v>187283</v>
      </c>
      <c r="G163" s="4">
        <v>1585</v>
      </c>
      <c r="H163" s="4">
        <v>19174</v>
      </c>
      <c r="I163" s="4">
        <f>I162+H163</f>
        <v>891817</v>
      </c>
      <c r="J163" s="4"/>
      <c r="K163" s="7">
        <f t="shared" si="13"/>
        <v>1003.3040000000037</v>
      </c>
      <c r="L163" s="7">
        <f t="shared" si="14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1">
        <f t="shared" si="16"/>
        <v>1.3177015922704152</v>
      </c>
      <c r="S163" s="72">
        <f t="shared" si="18"/>
        <v>2.3097212304912348E-2</v>
      </c>
      <c r="T163" s="62">
        <f t="shared" si="12"/>
        <v>1.9182786467416092E-2</v>
      </c>
    </row>
    <row r="164" spans="1:20" x14ac:dyDescent="0.25">
      <c r="A164" s="2">
        <v>44055</v>
      </c>
      <c r="B164" s="12">
        <v>7663</v>
      </c>
      <c r="C164" s="7">
        <f t="shared" si="17"/>
        <v>268574</v>
      </c>
      <c r="D164" s="7">
        <f>84+125</f>
        <v>209</v>
      </c>
      <c r="E164" s="7">
        <f t="shared" si="15"/>
        <v>5214</v>
      </c>
      <c r="F164" s="200">
        <v>192434</v>
      </c>
      <c r="G164" s="4">
        <v>1662</v>
      </c>
      <c r="H164" s="4">
        <v>19779</v>
      </c>
      <c r="I164" s="4">
        <v>911596</v>
      </c>
      <c r="J164" s="4"/>
      <c r="K164" s="7">
        <f t="shared" si="13"/>
        <v>1024.2339999999967</v>
      </c>
      <c r="L164" s="7">
        <f t="shared" si="14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1">
        <f t="shared" si="16"/>
        <v>1.3204888187862081</v>
      </c>
      <c r="S164" s="72">
        <f t="shared" si="18"/>
        <v>2.3432873699348617E-2</v>
      </c>
      <c r="T164" s="62">
        <f t="shared" si="12"/>
        <v>1.9413643911919992E-2</v>
      </c>
    </row>
    <row r="165" spans="1:20" x14ac:dyDescent="0.25">
      <c r="A165" s="2">
        <v>44056</v>
      </c>
      <c r="B165" s="12">
        <v>7498</v>
      </c>
      <c r="C165" s="7">
        <f t="shared" si="17"/>
        <v>276072</v>
      </c>
      <c r="D165" s="7">
        <f>33+116</f>
        <v>149</v>
      </c>
      <c r="E165" s="7">
        <f t="shared" si="15"/>
        <v>5363</v>
      </c>
      <c r="F165" s="200">
        <v>199005</v>
      </c>
      <c r="G165" s="4">
        <v>1682</v>
      </c>
      <c r="H165" s="4">
        <v>18501</v>
      </c>
      <c r="I165" s="4">
        <v>930097</v>
      </c>
      <c r="J165" s="4"/>
      <c r="K165" s="7">
        <f t="shared" si="13"/>
        <v>1045.8319999999949</v>
      </c>
      <c r="L165" s="7">
        <f t="shared" si="14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1">
        <f t="shared" si="16"/>
        <v>1.284870378240544</v>
      </c>
      <c r="S165" s="72">
        <f t="shared" si="18"/>
        <v>2.3457547696083901E-2</v>
      </c>
      <c r="T165" s="62">
        <f t="shared" si="12"/>
        <v>1.9426091744182677E-2</v>
      </c>
    </row>
    <row r="166" spans="1:20" x14ac:dyDescent="0.25">
      <c r="A166" s="2">
        <v>44057</v>
      </c>
      <c r="B166" s="34">
        <v>6365</v>
      </c>
      <c r="C166" s="7">
        <f t="shared" si="17"/>
        <v>282437</v>
      </c>
      <c r="D166" s="4">
        <f>66+99</f>
        <v>165</v>
      </c>
      <c r="E166" s="7">
        <f t="shared" si="15"/>
        <v>5528</v>
      </c>
      <c r="F166" s="200">
        <v>205697</v>
      </c>
      <c r="G166" s="4">
        <v>1718</v>
      </c>
      <c r="H166" s="4">
        <v>19073</v>
      </c>
      <c r="I166" s="4">
        <v>949170</v>
      </c>
      <c r="J166" s="4"/>
      <c r="K166" s="7">
        <f t="shared" si="13"/>
        <v>1066.9579999999842</v>
      </c>
      <c r="L166" s="7">
        <f t="shared" si="14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1">
        <f t="shared" si="16"/>
        <v>1.2657463090790404</v>
      </c>
      <c r="S166" s="72">
        <f t="shared" si="18"/>
        <v>2.4125147447059483E-2</v>
      </c>
      <c r="T166" s="62">
        <f t="shared" si="12"/>
        <v>1.9572506435063395E-2</v>
      </c>
    </row>
    <row r="167" spans="1:20" x14ac:dyDescent="0.25">
      <c r="A167" s="65">
        <v>44058</v>
      </c>
      <c r="B167" s="4">
        <v>6663</v>
      </c>
      <c r="C167" s="7">
        <f t="shared" si="17"/>
        <v>289100</v>
      </c>
      <c r="D167" s="4">
        <f>38+72-1</f>
        <v>109</v>
      </c>
      <c r="E167" s="7">
        <f t="shared" si="15"/>
        <v>5637</v>
      </c>
      <c r="F167" s="200">
        <v>211702</v>
      </c>
      <c r="G167" s="4">
        <v>1716</v>
      </c>
      <c r="H167" s="4">
        <v>17756</v>
      </c>
      <c r="I167" s="4">
        <f>I166+H167</f>
        <v>966926</v>
      </c>
      <c r="J167" s="4"/>
      <c r="K167" s="7">
        <f t="shared" si="13"/>
        <v>1086.1879999999655</v>
      </c>
      <c r="L167" s="7">
        <f t="shared" si="14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1">
        <f t="shared" si="16"/>
        <v>1.2518360225597469</v>
      </c>
      <c r="S167" s="72">
        <f t="shared" si="18"/>
        <v>2.3912710246512731E-2</v>
      </c>
      <c r="T167" s="62">
        <f t="shared" si="12"/>
        <v>1.9498443445174679E-2</v>
      </c>
    </row>
    <row r="168" spans="1:20" x14ac:dyDescent="0.25">
      <c r="A168" s="65">
        <v>44059</v>
      </c>
      <c r="B168" s="4">
        <v>5469</v>
      </c>
      <c r="C168" s="7">
        <f t="shared" si="17"/>
        <v>294569</v>
      </c>
      <c r="D168" s="4">
        <f>20+46</f>
        <v>66</v>
      </c>
      <c r="E168" s="7">
        <f t="shared" si="15"/>
        <v>5703</v>
      </c>
      <c r="F168" s="200">
        <v>217850</v>
      </c>
      <c r="G168" s="4">
        <v>1708</v>
      </c>
      <c r="H168" s="4">
        <v>14533</v>
      </c>
      <c r="I168" s="4">
        <v>981459</v>
      </c>
      <c r="J168" s="4"/>
      <c r="K168" s="7">
        <f t="shared" si="13"/>
        <v>1101.25</v>
      </c>
      <c r="L168" s="7">
        <f t="shared" si="14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1">
        <f t="shared" si="16"/>
        <v>1.233984177299486</v>
      </c>
      <c r="S168" s="72">
        <f t="shared" si="18"/>
        <v>2.4050918102962712E-2</v>
      </c>
      <c r="T168" s="62">
        <f t="shared" si="12"/>
        <v>1.9360489392977537E-2</v>
      </c>
    </row>
    <row r="169" spans="1:20" x14ac:dyDescent="0.25">
      <c r="A169" s="73">
        <v>44060</v>
      </c>
      <c r="B169" s="4">
        <v>4557</v>
      </c>
      <c r="C169" s="7">
        <f t="shared" si="17"/>
        <v>299126</v>
      </c>
      <c r="D169" s="4">
        <f>47+64</f>
        <v>111</v>
      </c>
      <c r="E169" s="7">
        <f t="shared" si="15"/>
        <v>5814</v>
      </c>
      <c r="F169" s="200">
        <v>223531</v>
      </c>
      <c r="G169" s="47">
        <v>1749</v>
      </c>
      <c r="H169" s="47">
        <v>13483</v>
      </c>
      <c r="I169" s="47">
        <f t="shared" ref="I169:I176" si="19">I168+H169</f>
        <v>994942</v>
      </c>
      <c r="J169" s="47"/>
      <c r="K169" s="7">
        <f t="shared" si="13"/>
        <v>1116.6300000000047</v>
      </c>
      <c r="L169" s="7">
        <f t="shared" si="14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1">
        <f t="shared" si="16"/>
        <v>1.2160618146875699</v>
      </c>
      <c r="S169" s="72">
        <f t="shared" si="18"/>
        <v>2.5064129204224645E-2</v>
      </c>
      <c r="T169" s="62">
        <f t="shared" si="12"/>
        <v>1.9436625368573778E-2</v>
      </c>
    </row>
    <row r="170" spans="1:20" x14ac:dyDescent="0.25">
      <c r="A170" s="2">
        <v>44061</v>
      </c>
      <c r="B170" s="4">
        <v>6840</v>
      </c>
      <c r="C170" s="7">
        <f t="shared" si="17"/>
        <v>305966</v>
      </c>
      <c r="D170" s="4">
        <f>63+170</f>
        <v>233</v>
      </c>
      <c r="E170" s="7">
        <f t="shared" si="15"/>
        <v>6047</v>
      </c>
      <c r="F170" s="200">
        <v>228725</v>
      </c>
      <c r="G170" s="4">
        <v>1799</v>
      </c>
      <c r="H170" s="4">
        <v>18037</v>
      </c>
      <c r="I170" s="4">
        <f t="shared" si="19"/>
        <v>1012979</v>
      </c>
      <c r="J170" s="4"/>
      <c r="K170" s="7">
        <f t="shared" si="13"/>
        <v>1136.4399999999441</v>
      </c>
      <c r="L170" s="7">
        <f t="shared" si="14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1">
        <f t="shared" si="16"/>
        <v>1.1939367322422723</v>
      </c>
      <c r="S170" s="72">
        <f t="shared" si="18"/>
        <v>2.5268983341292805E-2</v>
      </c>
      <c r="T170" s="62">
        <f t="shared" si="12"/>
        <v>1.9763633867815378E-2</v>
      </c>
    </row>
    <row r="171" spans="1:20" x14ac:dyDescent="0.25">
      <c r="A171" s="2">
        <v>44062</v>
      </c>
      <c r="B171" s="4">
        <v>6693</v>
      </c>
      <c r="C171" s="7">
        <f t="shared" si="17"/>
        <v>312659</v>
      </c>
      <c r="D171" s="4">
        <f>217+66</f>
        <v>283</v>
      </c>
      <c r="E171" s="7">
        <f t="shared" si="15"/>
        <v>6330</v>
      </c>
      <c r="F171" s="200">
        <v>233651</v>
      </c>
      <c r="G171" s="4">
        <v>1795</v>
      </c>
      <c r="H171" s="4">
        <v>18013</v>
      </c>
      <c r="I171" s="4">
        <f t="shared" si="19"/>
        <v>1030992</v>
      </c>
      <c r="J171" s="4"/>
      <c r="K171" s="7">
        <f t="shared" si="13"/>
        <v>1156.0860000000102</v>
      </c>
      <c r="L171" s="7">
        <f t="shared" si="14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1">
        <f t="shared" si="16"/>
        <v>1.1674874971440177</v>
      </c>
      <c r="S171" s="72">
        <f t="shared" si="18"/>
        <v>2.4697982883403507E-2</v>
      </c>
      <c r="T171" s="62">
        <f t="shared" si="12"/>
        <v>2.0245698988354724E-2</v>
      </c>
    </row>
    <row r="172" spans="1:20" x14ac:dyDescent="0.25">
      <c r="A172" s="2">
        <v>44063</v>
      </c>
      <c r="B172" s="80">
        <v>8225</v>
      </c>
      <c r="C172" s="7">
        <f t="shared" si="17"/>
        <v>320884</v>
      </c>
      <c r="D172" s="4">
        <f>111+75</f>
        <v>186</v>
      </c>
      <c r="E172" s="7">
        <f>E171+D172</f>
        <v>6516</v>
      </c>
      <c r="F172" s="200">
        <v>239806</v>
      </c>
      <c r="G172" s="4">
        <v>1832</v>
      </c>
      <c r="H172" s="4">
        <v>21695</v>
      </c>
      <c r="I172" s="4">
        <f t="shared" si="19"/>
        <v>1052687</v>
      </c>
      <c r="J172" s="4"/>
      <c r="K172" s="7">
        <f t="shared" si="13"/>
        <v>1178.905999999959</v>
      </c>
      <c r="L172" s="7">
        <f t="shared" si="14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1">
        <f t="shared" si="16"/>
        <v>1.1561845125237</v>
      </c>
      <c r="S172" s="72">
        <f t="shared" si="18"/>
        <v>2.4570156379925431E-2</v>
      </c>
      <c r="T172" s="62">
        <f t="shared" si="12"/>
        <v>2.0306403560165043E-2</v>
      </c>
    </row>
    <row r="173" spans="1:20" x14ac:dyDescent="0.25">
      <c r="A173" s="2">
        <v>44064</v>
      </c>
      <c r="B173" s="7">
        <v>8159</v>
      </c>
      <c r="C173" s="7">
        <f t="shared" si="17"/>
        <v>329043</v>
      </c>
      <c r="D173" s="4">
        <f>50+164</f>
        <v>214</v>
      </c>
      <c r="E173" s="7">
        <f>E172+D173</f>
        <v>6730</v>
      </c>
      <c r="F173" s="200">
        <v>245781</v>
      </c>
      <c r="G173" s="47">
        <v>1853</v>
      </c>
      <c r="H173" s="47">
        <v>21032</v>
      </c>
      <c r="I173" s="47">
        <f t="shared" si="19"/>
        <v>1073719</v>
      </c>
      <c r="J173" s="47"/>
      <c r="K173" s="7">
        <f t="shared" si="13"/>
        <v>1201.0119999999879</v>
      </c>
      <c r="L173" s="7">
        <f t="shared" si="14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1">
        <f t="shared" si="16"/>
        <v>1.1364339009457503</v>
      </c>
      <c r="S173" s="72">
        <f t="shared" si="18"/>
        <v>2.4212094287356923E-2</v>
      </c>
      <c r="T173" s="62">
        <f t="shared" si="12"/>
        <v>2.0453253830046529E-2</v>
      </c>
    </row>
    <row r="174" spans="1:20" x14ac:dyDescent="0.25">
      <c r="A174" s="2">
        <v>44065</v>
      </c>
      <c r="B174" s="4">
        <v>7759</v>
      </c>
      <c r="C174" s="7">
        <f t="shared" si="17"/>
        <v>336802</v>
      </c>
      <c r="D174" s="4">
        <v>118</v>
      </c>
      <c r="E174" s="7">
        <f>E173+D174</f>
        <v>6848</v>
      </c>
      <c r="F174" s="200">
        <v>251400</v>
      </c>
      <c r="G174" s="47">
        <v>1907</v>
      </c>
      <c r="H174" s="47">
        <v>18837</v>
      </c>
      <c r="I174" s="47">
        <f t="shared" si="19"/>
        <v>1092556</v>
      </c>
      <c r="J174" s="47"/>
      <c r="K174" s="7">
        <f t="shared" si="13"/>
        <v>1220.3220000000438</v>
      </c>
      <c r="L174" s="7">
        <f t="shared" si="14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1">
        <f t="shared" si="16"/>
        <v>1.1379302083208549</v>
      </c>
      <c r="S174" s="72">
        <f t="shared" si="18"/>
        <v>2.4276294014308628E-2</v>
      </c>
      <c r="T174" s="62">
        <f t="shared" si="12"/>
        <v>2.0332420828854936E-2</v>
      </c>
    </row>
    <row r="175" spans="1:20" x14ac:dyDescent="0.25">
      <c r="A175" s="2">
        <v>44066</v>
      </c>
      <c r="B175" s="4">
        <v>5352</v>
      </c>
      <c r="C175" s="7">
        <f t="shared" si="17"/>
        <v>342154</v>
      </c>
      <c r="D175" s="4">
        <f>99+37</f>
        <v>136</v>
      </c>
      <c r="E175" s="7">
        <f>E174+D175</f>
        <v>6984</v>
      </c>
      <c r="F175" s="200">
        <v>256789</v>
      </c>
      <c r="G175" s="4">
        <v>1922</v>
      </c>
      <c r="H175" s="4">
        <v>13322</v>
      </c>
      <c r="I175" s="4">
        <f t="shared" si="19"/>
        <v>1105878</v>
      </c>
      <c r="J175" s="4"/>
      <c r="K175" s="7">
        <f t="shared" si="13"/>
        <v>1234.4039999999804</v>
      </c>
      <c r="L175" s="7">
        <f t="shared" si="14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20">C175-P175-O175-N175</f>
        <v>47516</v>
      </c>
      <c r="R175" s="1">
        <f t="shared" si="16"/>
        <v>1.1391161444750098</v>
      </c>
      <c r="S175" s="72">
        <f t="shared" si="18"/>
        <v>2.4521248772023833E-2</v>
      </c>
      <c r="T175" s="62">
        <f t="shared" si="12"/>
        <v>2.041186132560192E-2</v>
      </c>
    </row>
    <row r="176" spans="1:20" x14ac:dyDescent="0.25">
      <c r="A176" s="73">
        <v>44067</v>
      </c>
      <c r="B176" s="4">
        <v>8713</v>
      </c>
      <c r="C176" s="7">
        <f t="shared" si="17"/>
        <v>350867</v>
      </c>
      <c r="D176" s="4">
        <f>95+286</f>
        <v>381</v>
      </c>
      <c r="E176" s="7">
        <f>D176+E175</f>
        <v>7365</v>
      </c>
      <c r="F176" s="200">
        <v>263202</v>
      </c>
      <c r="G176" s="4">
        <v>1960</v>
      </c>
      <c r="H176" s="4">
        <v>21220</v>
      </c>
      <c r="I176" s="4">
        <f t="shared" si="19"/>
        <v>1127098</v>
      </c>
      <c r="J176" s="4"/>
      <c r="K176" s="7">
        <f t="shared" si="13"/>
        <v>1256.7859999999637</v>
      </c>
      <c r="L176" s="7">
        <f t="shared" si="14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20"/>
        <v>50739</v>
      </c>
      <c r="R176" s="1">
        <f t="shared" si="16"/>
        <v>1.1219983343358164</v>
      </c>
      <c r="S176" s="72">
        <f t="shared" si="18"/>
        <v>2.4408468244084682E-2</v>
      </c>
      <c r="T176" s="62">
        <f t="shared" si="12"/>
        <v>2.0990859784476738E-2</v>
      </c>
    </row>
    <row r="177" spans="1:21" s="68" customFormat="1" x14ac:dyDescent="0.25">
      <c r="A177" s="2">
        <v>44068</v>
      </c>
      <c r="B177" s="4">
        <v>8771</v>
      </c>
      <c r="C177" s="7">
        <f t="shared" si="17"/>
        <v>359638</v>
      </c>
      <c r="D177" s="4">
        <f>36+162</f>
        <v>198</v>
      </c>
      <c r="E177" s="7">
        <f t="shared" ref="E177:E230" si="21">E176+D177</f>
        <v>7563</v>
      </c>
      <c r="F177" s="200">
        <v>268801</v>
      </c>
      <c r="G177" s="4">
        <v>1990</v>
      </c>
      <c r="H177" s="4">
        <v>21476</v>
      </c>
      <c r="I177" s="4">
        <f>H177+I176</f>
        <v>1148574</v>
      </c>
      <c r="J177" s="4"/>
      <c r="K177" s="7">
        <f t="shared" si="13"/>
        <v>1278.204000000027</v>
      </c>
      <c r="L177" s="7">
        <f t="shared" si="14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20"/>
        <v>51790</v>
      </c>
      <c r="R177" s="1">
        <f t="shared" si="16"/>
        <v>1.1275869158024578</v>
      </c>
      <c r="S177" s="72">
        <f t="shared" si="18"/>
        <v>2.3897014674448207E-2</v>
      </c>
      <c r="T177" s="62">
        <f t="shared" si="12"/>
        <v>2.1029479643419217E-2</v>
      </c>
      <c r="U177" s="143"/>
    </row>
    <row r="178" spans="1:21" x14ac:dyDescent="0.25">
      <c r="A178" s="2">
        <v>44069</v>
      </c>
      <c r="B178" s="4">
        <v>10550</v>
      </c>
      <c r="C178" s="7">
        <f t="shared" si="17"/>
        <v>370188</v>
      </c>
      <c r="D178" s="4">
        <f>98+178</f>
        <v>276</v>
      </c>
      <c r="E178" s="7">
        <f t="shared" si="21"/>
        <v>7839</v>
      </c>
      <c r="F178" s="200">
        <v>274458</v>
      </c>
      <c r="G178" s="4">
        <v>2022</v>
      </c>
      <c r="H178" s="4">
        <v>24237</v>
      </c>
      <c r="I178" s="4">
        <f>H178+I177</f>
        <v>1172811</v>
      </c>
      <c r="J178" s="4"/>
      <c r="K178" s="7">
        <f t="shared" si="13"/>
        <v>1301.7900000000373</v>
      </c>
      <c r="L178" s="7">
        <f t="shared" si="14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20"/>
        <v>54117</v>
      </c>
      <c r="R178" s="1">
        <f t="shared" si="16"/>
        <v>1.1343633481435174</v>
      </c>
      <c r="S178" s="72">
        <f t="shared" si="18"/>
        <v>2.300576850872103E-2</v>
      </c>
      <c r="T178" s="62">
        <f t="shared" si="12"/>
        <v>2.1175726927939318E-2</v>
      </c>
    </row>
    <row r="179" spans="1:21" x14ac:dyDescent="0.25">
      <c r="A179" s="2">
        <v>44070</v>
      </c>
      <c r="B179" s="4">
        <v>10104</v>
      </c>
      <c r="C179" s="7">
        <f t="shared" si="17"/>
        <v>380292</v>
      </c>
      <c r="D179" s="4">
        <f>105+106</f>
        <v>211</v>
      </c>
      <c r="E179" s="7">
        <f t="shared" si="21"/>
        <v>8050</v>
      </c>
      <c r="F179" s="200">
        <v>274458</v>
      </c>
      <c r="G179" s="4">
        <v>2075</v>
      </c>
      <c r="H179" s="4">
        <v>24067</v>
      </c>
      <c r="I179" s="4">
        <f t="shared" ref="I179:I202" si="22">I178+H179</f>
        <v>1196878</v>
      </c>
      <c r="J179" s="4"/>
      <c r="K179" s="7">
        <f t="shared" si="13"/>
        <v>1061.1663999999873</v>
      </c>
      <c r="L179" s="7">
        <f t="shared" ref="L179:L202" si="23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20"/>
        <v>56457</v>
      </c>
      <c r="R179" s="1">
        <f t="shared" si="16"/>
        <v>1.1490755135117257</v>
      </c>
      <c r="S179" s="72">
        <f t="shared" si="18"/>
        <v>2.1220240530148083E-2</v>
      </c>
      <c r="T179" s="62">
        <f t="shared" si="12"/>
        <v>2.1167944632019604E-2</v>
      </c>
    </row>
    <row r="180" spans="1:21" x14ac:dyDescent="0.25">
      <c r="A180" s="2">
        <v>44071</v>
      </c>
      <c r="B180" s="148">
        <v>11717</v>
      </c>
      <c r="C180" s="66">
        <f t="shared" si="17"/>
        <v>392009</v>
      </c>
      <c r="D180" s="47">
        <f>80+142</f>
        <v>222</v>
      </c>
      <c r="E180" s="66">
        <f t="shared" si="21"/>
        <v>8272</v>
      </c>
      <c r="F180" s="200">
        <v>287220</v>
      </c>
      <c r="G180" s="47">
        <v>2114</v>
      </c>
      <c r="H180" s="47">
        <v>25481</v>
      </c>
      <c r="I180" s="47">
        <f t="shared" si="22"/>
        <v>1222359</v>
      </c>
      <c r="J180" s="47"/>
      <c r="K180" s="7">
        <f t="shared" si="13"/>
        <v>1081.8352000000887</v>
      </c>
      <c r="L180" s="7">
        <f t="shared" si="23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20"/>
        <v>59757</v>
      </c>
      <c r="R180" s="1">
        <f t="shared" si="16"/>
        <v>1.2023042738794096</v>
      </c>
      <c r="S180" s="72">
        <f t="shared" si="18"/>
        <v>2.1902877213340655E-2</v>
      </c>
      <c r="T180" s="62">
        <f t="shared" si="12"/>
        <v>2.1101556341818681E-2</v>
      </c>
    </row>
    <row r="181" spans="1:21" x14ac:dyDescent="0.25">
      <c r="A181" s="71">
        <v>44072</v>
      </c>
      <c r="B181" s="47">
        <v>9230</v>
      </c>
      <c r="C181" s="66">
        <f t="shared" si="17"/>
        <v>401239</v>
      </c>
      <c r="D181" s="47">
        <f>34+47</f>
        <v>81</v>
      </c>
      <c r="E181" s="66">
        <f t="shared" si="21"/>
        <v>8353</v>
      </c>
      <c r="F181" s="200">
        <v>294007</v>
      </c>
      <c r="G181" s="47">
        <v>2192</v>
      </c>
      <c r="H181" s="47">
        <v>19910</v>
      </c>
      <c r="I181" s="47">
        <f t="shared" si="22"/>
        <v>1242269</v>
      </c>
      <c r="J181" s="47"/>
      <c r="K181" s="7">
        <f t="shared" si="13"/>
        <v>1097.3584000000264</v>
      </c>
      <c r="L181" s="7">
        <f t="shared" si="23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20"/>
        <v>62462</v>
      </c>
      <c r="R181" s="1">
        <f t="shared" si="16"/>
        <v>1.2115669263264799</v>
      </c>
      <c r="S181" s="72">
        <f t="shared" si="18"/>
        <v>2.2168508985730032E-2</v>
      </c>
      <c r="T181" s="62">
        <f t="shared" si="12"/>
        <v>2.0818016194836492E-2</v>
      </c>
      <c r="U181" s="19"/>
    </row>
    <row r="182" spans="1:21" x14ac:dyDescent="0.25">
      <c r="A182" s="2">
        <v>44073</v>
      </c>
      <c r="B182" s="4">
        <v>7187</v>
      </c>
      <c r="C182" s="7">
        <f t="shared" si="17"/>
        <v>408426</v>
      </c>
      <c r="D182" s="4">
        <f>48+55</f>
        <v>103</v>
      </c>
      <c r="E182" s="7">
        <f t="shared" si="21"/>
        <v>8456</v>
      </c>
      <c r="F182" s="200">
        <v>300195</v>
      </c>
      <c r="G182" s="4">
        <v>2232</v>
      </c>
      <c r="H182" s="4">
        <v>15637</v>
      </c>
      <c r="I182" s="4">
        <f t="shared" si="22"/>
        <v>1257906</v>
      </c>
      <c r="J182" s="4"/>
      <c r="K182" s="7">
        <f t="shared" si="13"/>
        <v>1109.0415999999968</v>
      </c>
      <c r="L182" s="7">
        <f t="shared" si="23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20"/>
        <v>65003</v>
      </c>
      <c r="R182" s="1">
        <f t="shared" si="16"/>
        <v>1.2288936859147328</v>
      </c>
      <c r="S182" s="72">
        <f t="shared" si="18"/>
        <v>2.2370333249812076E-2</v>
      </c>
      <c r="T182" s="62">
        <f t="shared" si="12"/>
        <v>2.0703872917003326E-2</v>
      </c>
    </row>
    <row r="183" spans="1:21" x14ac:dyDescent="0.25">
      <c r="A183" s="73">
        <v>44074</v>
      </c>
      <c r="B183" s="47">
        <v>9309</v>
      </c>
      <c r="C183" s="66">
        <f t="shared" si="17"/>
        <v>417735</v>
      </c>
      <c r="D183" s="47">
        <f>41+162</f>
        <v>203</v>
      </c>
      <c r="E183" s="66">
        <f t="shared" si="21"/>
        <v>8659</v>
      </c>
      <c r="F183" s="200">
        <v>308376</v>
      </c>
      <c r="G183" s="47">
        <v>2273</v>
      </c>
      <c r="H183" s="47">
        <v>19845</v>
      </c>
      <c r="I183" s="47">
        <f t="shared" si="22"/>
        <v>1277751</v>
      </c>
      <c r="J183" s="47"/>
      <c r="K183" s="7">
        <f t="shared" si="13"/>
        <v>1125.2863999999827</v>
      </c>
      <c r="L183" s="7">
        <f t="shared" si="23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20"/>
        <v>64993</v>
      </c>
      <c r="R183" s="1">
        <f t="shared" si="16"/>
        <v>1.2838833984607558</v>
      </c>
      <c r="S183" s="72">
        <f t="shared" si="18"/>
        <v>2.2571996027805363E-2</v>
      </c>
      <c r="T183" s="62">
        <f t="shared" si="12"/>
        <v>2.0728452248435014E-2</v>
      </c>
    </row>
    <row r="184" spans="1:21" x14ac:dyDescent="0.25">
      <c r="A184" s="75">
        <v>44075</v>
      </c>
      <c r="B184" s="4">
        <v>10504</v>
      </c>
      <c r="C184" s="7">
        <f t="shared" si="17"/>
        <v>428239</v>
      </c>
      <c r="D184" s="4">
        <f>70+189</f>
        <v>259</v>
      </c>
      <c r="E184" s="7">
        <f t="shared" si="21"/>
        <v>8918</v>
      </c>
      <c r="F184" s="200">
        <v>315530</v>
      </c>
      <c r="G184" s="4">
        <v>2314</v>
      </c>
      <c r="H184" s="4">
        <v>23115</v>
      </c>
      <c r="I184" s="4">
        <f t="shared" si="22"/>
        <v>1300866</v>
      </c>
      <c r="J184" s="4"/>
      <c r="K184" s="7">
        <f t="shared" si="13"/>
        <v>1148.1040000000503</v>
      </c>
      <c r="L184" s="7">
        <f t="shared" si="23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20"/>
        <v>65758</v>
      </c>
      <c r="R184" s="1">
        <f t="shared" si="16"/>
        <v>1.3228570501238761</v>
      </c>
      <c r="S184" s="72">
        <f t="shared" si="18"/>
        <v>2.2294803981077357E-2</v>
      </c>
      <c r="T184" s="62">
        <f t="shared" si="12"/>
        <v>2.0824819785213396E-2</v>
      </c>
    </row>
    <row r="185" spans="1:21" x14ac:dyDescent="0.25">
      <c r="A185" s="75">
        <v>44076</v>
      </c>
      <c r="B185" s="4">
        <v>10933</v>
      </c>
      <c r="C185" s="7">
        <f t="shared" si="17"/>
        <v>439172</v>
      </c>
      <c r="D185" s="4">
        <f>52+146</f>
        <v>198</v>
      </c>
      <c r="E185" s="7">
        <f t="shared" si="21"/>
        <v>9116</v>
      </c>
      <c r="F185" s="200">
        <v>322461</v>
      </c>
      <c r="G185" s="4">
        <v>2359</v>
      </c>
      <c r="H185" s="4">
        <v>23821</v>
      </c>
      <c r="I185" s="4">
        <f t="shared" si="22"/>
        <v>1324687</v>
      </c>
      <c r="J185" s="4"/>
      <c r="K185" s="7">
        <f t="shared" si="13"/>
        <v>1166.611200000043</v>
      </c>
      <c r="L185" s="7">
        <f t="shared" si="23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20"/>
        <v>65923</v>
      </c>
      <c r="R185" s="1">
        <f t="shared" si="16"/>
        <v>1.3754851756417363</v>
      </c>
      <c r="S185" s="72">
        <f t="shared" si="18"/>
        <v>2.1924810632464334E-2</v>
      </c>
      <c r="T185" s="62">
        <f t="shared" si="12"/>
        <v>2.075724317579445E-2</v>
      </c>
    </row>
    <row r="186" spans="1:21" x14ac:dyDescent="0.25">
      <c r="A186" s="75">
        <v>44077</v>
      </c>
      <c r="B186" s="147">
        <v>12026</v>
      </c>
      <c r="C186" s="7">
        <f t="shared" si="17"/>
        <v>451198</v>
      </c>
      <c r="D186" s="4">
        <f>38+206</f>
        <v>244</v>
      </c>
      <c r="E186" s="7">
        <f t="shared" si="21"/>
        <v>9360</v>
      </c>
      <c r="F186" s="200">
        <v>331621</v>
      </c>
      <c r="G186" s="4">
        <v>2394</v>
      </c>
      <c r="H186" s="4">
        <v>25351</v>
      </c>
      <c r="I186" s="4">
        <f t="shared" si="22"/>
        <v>1350038</v>
      </c>
      <c r="J186" s="4"/>
      <c r="K186" s="7">
        <f t="shared" si="13"/>
        <v>1185.8656000000192</v>
      </c>
      <c r="L186" s="7">
        <f t="shared" si="23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20"/>
        <v>67675</v>
      </c>
      <c r="R186" s="1">
        <f t="shared" si="16"/>
        <v>1.4059273484447994</v>
      </c>
      <c r="S186" s="72">
        <f t="shared" si="18"/>
        <v>2.1720787174392336E-2</v>
      </c>
      <c r="T186" s="62">
        <f t="shared" si="12"/>
        <v>2.0744772804843992E-2</v>
      </c>
    </row>
    <row r="187" spans="1:21" x14ac:dyDescent="0.25">
      <c r="A187" s="75">
        <v>44078</v>
      </c>
      <c r="B187" s="4">
        <v>10684</v>
      </c>
      <c r="C187" s="7">
        <f t="shared" si="17"/>
        <v>461882</v>
      </c>
      <c r="D187" s="4">
        <f>107+155</f>
        <v>262</v>
      </c>
      <c r="E187" s="7">
        <f t="shared" si="21"/>
        <v>9622</v>
      </c>
      <c r="F187" s="200">
        <v>340381</v>
      </c>
      <c r="G187" s="4">
        <v>2425</v>
      </c>
      <c r="H187" s="4">
        <v>24486</v>
      </c>
      <c r="I187" s="4">
        <f t="shared" si="22"/>
        <v>1374524</v>
      </c>
      <c r="J187" s="4"/>
      <c r="K187" s="7">
        <f t="shared" si="13"/>
        <v>1205.8336000000127</v>
      </c>
      <c r="L187" s="7">
        <f t="shared" si="23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20"/>
        <v>68623</v>
      </c>
      <c r="R187" s="1">
        <f t="shared" si="16"/>
        <v>1.4227770280401859</v>
      </c>
      <c r="S187" s="72">
        <f t="shared" si="18"/>
        <v>2.167520267431779E-2</v>
      </c>
      <c r="T187" s="62">
        <f t="shared" si="12"/>
        <v>2.0832160595130357E-2</v>
      </c>
    </row>
    <row r="188" spans="1:21" x14ac:dyDescent="0.25">
      <c r="A188" s="75">
        <v>44079</v>
      </c>
      <c r="B188" s="47">
        <v>9924</v>
      </c>
      <c r="C188" s="66">
        <f t="shared" si="17"/>
        <v>471806</v>
      </c>
      <c r="D188" s="47">
        <f>62+55</f>
        <v>117</v>
      </c>
      <c r="E188" s="66">
        <f t="shared" si="21"/>
        <v>9739</v>
      </c>
      <c r="F188" s="200">
        <v>349132</v>
      </c>
      <c r="G188" s="47">
        <v>2456</v>
      </c>
      <c r="H188" s="47">
        <v>22363</v>
      </c>
      <c r="I188" s="47">
        <f t="shared" si="22"/>
        <v>1396887</v>
      </c>
      <c r="J188" s="47"/>
      <c r="K188" s="7">
        <f t="shared" si="13"/>
        <v>1223.704000000027</v>
      </c>
      <c r="L188" s="7">
        <f t="shared" si="23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20"/>
        <v>71174</v>
      </c>
      <c r="R188" s="1">
        <f t="shared" si="16"/>
        <v>1.4212293796254383</v>
      </c>
      <c r="S188" s="72">
        <f t="shared" si="18"/>
        <v>2.1747022623633063E-2</v>
      </c>
      <c r="T188" s="62">
        <f t="shared" si="12"/>
        <v>2.0641958771189853E-2</v>
      </c>
    </row>
    <row r="189" spans="1:21" x14ac:dyDescent="0.25">
      <c r="A189" s="75">
        <v>44080</v>
      </c>
      <c r="B189" s="4">
        <v>6986</v>
      </c>
      <c r="C189" s="7">
        <f t="shared" si="17"/>
        <v>478792</v>
      </c>
      <c r="D189" s="4">
        <f>67+51+1</f>
        <v>119</v>
      </c>
      <c r="E189" s="7">
        <f t="shared" si="21"/>
        <v>9858</v>
      </c>
      <c r="F189" s="200">
        <v>357388</v>
      </c>
      <c r="G189" s="4">
        <v>2512</v>
      </c>
      <c r="H189" s="4">
        <v>15262</v>
      </c>
      <c r="I189" s="4">
        <f t="shared" si="22"/>
        <v>1412149</v>
      </c>
      <c r="J189" s="4"/>
      <c r="K189" s="7">
        <f t="shared" si="13"/>
        <v>1235.9904000000097</v>
      </c>
      <c r="L189" s="7">
        <f t="shared" si="23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20"/>
        <v>72610</v>
      </c>
      <c r="R189" s="1">
        <f t="shared" si="16"/>
        <v>1.4284459777324761</v>
      </c>
      <c r="S189" s="72">
        <f t="shared" si="18"/>
        <v>2.2519857278611513E-2</v>
      </c>
      <c r="T189" s="62">
        <f t="shared" si="12"/>
        <v>2.0589316446390081E-2</v>
      </c>
    </row>
    <row r="190" spans="1:21" x14ac:dyDescent="0.25">
      <c r="A190" s="87">
        <v>44081</v>
      </c>
      <c r="B190" s="47">
        <v>9215</v>
      </c>
      <c r="C190" s="66">
        <f t="shared" si="17"/>
        <v>488007</v>
      </c>
      <c r="D190" s="47">
        <f>53+215</f>
        <v>268</v>
      </c>
      <c r="E190" s="66">
        <f t="shared" si="21"/>
        <v>10126</v>
      </c>
      <c r="F190" s="200">
        <v>366590</v>
      </c>
      <c r="G190" s="47">
        <v>2698</v>
      </c>
      <c r="H190" s="47">
        <v>20475</v>
      </c>
      <c r="I190" s="47">
        <f t="shared" si="22"/>
        <v>1432624</v>
      </c>
      <c r="J190" s="47"/>
      <c r="K190" s="7">
        <f t="shared" si="13"/>
        <v>1252.6800000000512</v>
      </c>
      <c r="L190" s="7">
        <f t="shared" si="23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20"/>
        <v>71720</v>
      </c>
      <c r="R190" s="1">
        <f t="shared" si="16"/>
        <v>1.41382900854648</v>
      </c>
      <c r="S190" s="72">
        <f t="shared" si="18"/>
        <v>2.4242750986153416E-2</v>
      </c>
      <c r="T190" s="62">
        <f t="shared" si="12"/>
        <v>2.074970236082679E-2</v>
      </c>
    </row>
    <row r="191" spans="1:21" x14ac:dyDescent="0.25">
      <c r="A191" s="75">
        <v>44082</v>
      </c>
      <c r="B191" s="4">
        <v>12027</v>
      </c>
      <c r="C191" s="7">
        <f t="shared" si="17"/>
        <v>500034</v>
      </c>
      <c r="D191" s="4">
        <f>50+227</f>
        <v>277</v>
      </c>
      <c r="E191" s="7">
        <f t="shared" si="21"/>
        <v>10403</v>
      </c>
      <c r="F191" s="200">
        <v>382490</v>
      </c>
      <c r="G191" s="4">
        <v>2719</v>
      </c>
      <c r="H191" s="4">
        <v>25995</v>
      </c>
      <c r="I191" s="4">
        <f t="shared" si="22"/>
        <v>1458619</v>
      </c>
      <c r="J191" s="4"/>
      <c r="K191" s="7">
        <f t="shared" si="13"/>
        <v>1273.516799999983</v>
      </c>
      <c r="L191" s="7">
        <f t="shared" si="23"/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20"/>
        <v>73038</v>
      </c>
      <c r="R191" s="1">
        <f t="shared" si="16"/>
        <v>1.4220628602104792</v>
      </c>
      <c r="S191" s="72">
        <f t="shared" si="18"/>
        <v>2.5377773214735722E-2</v>
      </c>
      <c r="T191" s="62">
        <f t="shared" si="12"/>
        <v>2.0804585288200401E-2</v>
      </c>
    </row>
    <row r="192" spans="1:21" x14ac:dyDescent="0.25">
      <c r="A192" s="75">
        <v>44083</v>
      </c>
      <c r="B192" s="4">
        <v>12259</v>
      </c>
      <c r="C192" s="7">
        <f t="shared" si="17"/>
        <v>512293</v>
      </c>
      <c r="D192" s="4">
        <f>52+202</f>
        <v>254</v>
      </c>
      <c r="E192" s="7">
        <f t="shared" si="21"/>
        <v>10657</v>
      </c>
      <c r="F192" s="200">
        <v>390098</v>
      </c>
      <c r="G192" s="4">
        <v>2829</v>
      </c>
      <c r="H192" s="4">
        <v>27171</v>
      </c>
      <c r="I192" s="4">
        <f t="shared" si="22"/>
        <v>1485790</v>
      </c>
      <c r="J192" s="4"/>
      <c r="K192" s="7">
        <f t="shared" si="13"/>
        <v>1293.7232000000076</v>
      </c>
      <c r="L192" s="7">
        <f t="shared" si="23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20"/>
        <v>74787</v>
      </c>
      <c r="R192" s="1">
        <f t="shared" si="16"/>
        <v>1.3984785561044739</v>
      </c>
      <c r="S192" s="72">
        <f t="shared" si="18"/>
        <v>2.5363553228496118E-2</v>
      </c>
      <c r="T192" s="62">
        <f t="shared" si="12"/>
        <v>2.0802548541557272E-2</v>
      </c>
    </row>
    <row r="193" spans="1:21" x14ac:dyDescent="0.25">
      <c r="A193" s="75">
        <v>44084</v>
      </c>
      <c r="B193" s="4">
        <v>11905</v>
      </c>
      <c r="C193" s="7">
        <f t="shared" si="17"/>
        <v>524198</v>
      </c>
      <c r="D193" s="4">
        <f>55+195</f>
        <v>250</v>
      </c>
      <c r="E193" s="7">
        <f t="shared" si="21"/>
        <v>10907</v>
      </c>
      <c r="F193" s="200">
        <v>400121</v>
      </c>
      <c r="G193" s="4">
        <v>2880</v>
      </c>
      <c r="H193" s="4">
        <v>28057</v>
      </c>
      <c r="I193" s="4">
        <f t="shared" si="22"/>
        <v>1513847</v>
      </c>
      <c r="J193" s="4"/>
      <c r="K193" s="7">
        <f t="shared" si="13"/>
        <v>1315.7488000000594</v>
      </c>
      <c r="L193" s="7">
        <f t="shared" si="23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20"/>
        <v>76356</v>
      </c>
      <c r="R193" s="1">
        <f t="shared" si="16"/>
        <v>1.3807906351947803</v>
      </c>
      <c r="S193" s="72">
        <f t="shared" si="18"/>
        <v>2.5448440399399135E-2</v>
      </c>
      <c r="T193" s="62">
        <f t="shared" si="12"/>
        <v>2.0807023300355974E-2</v>
      </c>
    </row>
    <row r="194" spans="1:21" x14ac:dyDescent="0.25">
      <c r="A194" s="87">
        <v>44085</v>
      </c>
      <c r="B194" s="1">
        <v>11507</v>
      </c>
      <c r="C194" s="21">
        <f t="shared" si="17"/>
        <v>535705</v>
      </c>
      <c r="D194" s="1">
        <f>87+154</f>
        <v>241</v>
      </c>
      <c r="E194" s="21">
        <f t="shared" si="21"/>
        <v>11148</v>
      </c>
      <c r="F194" s="200">
        <v>409771</v>
      </c>
      <c r="G194" s="1">
        <v>3093</v>
      </c>
      <c r="H194" s="4">
        <v>26254</v>
      </c>
      <c r="I194" s="4">
        <f t="shared" si="22"/>
        <v>1540101</v>
      </c>
      <c r="J194" s="4"/>
      <c r="K194" s="7">
        <f t="shared" si="13"/>
        <v>1338.017600000021</v>
      </c>
      <c r="L194" s="7">
        <f t="shared" si="23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20"/>
        <v>77432</v>
      </c>
      <c r="R194" s="1">
        <f t="shared" si="16"/>
        <v>1.3114299273537036</v>
      </c>
      <c r="S194" s="72">
        <f t="shared" si="18"/>
        <v>2.6945794783335947E-2</v>
      </c>
      <c r="T194" s="62">
        <f t="shared" si="12"/>
        <v>2.0809960705985571E-2</v>
      </c>
    </row>
    <row r="195" spans="1:21" x14ac:dyDescent="0.25">
      <c r="A195" s="75">
        <v>44086</v>
      </c>
      <c r="B195" s="1">
        <v>10776</v>
      </c>
      <c r="C195" s="21">
        <f t="shared" si="17"/>
        <v>546481</v>
      </c>
      <c r="D195" s="1">
        <f>57+58</f>
        <v>115</v>
      </c>
      <c r="E195" s="21">
        <f t="shared" si="21"/>
        <v>11263</v>
      </c>
      <c r="F195" s="200">
        <v>419513</v>
      </c>
      <c r="G195" s="1">
        <v>2962</v>
      </c>
      <c r="H195" s="4">
        <v>23140</v>
      </c>
      <c r="I195" s="4">
        <f t="shared" si="22"/>
        <v>1563241</v>
      </c>
      <c r="J195" s="4"/>
      <c r="K195" s="7">
        <f t="shared" si="13"/>
        <v>1355.5903999999864</v>
      </c>
      <c r="L195" s="7">
        <f t="shared" si="23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20"/>
        <v>80017</v>
      </c>
      <c r="R195" s="1">
        <f t="shared" si="16"/>
        <v>1.2951961405041956</v>
      </c>
      <c r="S195" s="72">
        <f t="shared" si="18"/>
        <v>2.5599585151894904E-2</v>
      </c>
      <c r="T195" s="62">
        <f t="shared" si="12"/>
        <v>2.0610048656769402E-2</v>
      </c>
    </row>
    <row r="196" spans="1:21" ht="16.5" x14ac:dyDescent="0.25">
      <c r="A196" s="75">
        <v>44087</v>
      </c>
      <c r="B196" s="1">
        <v>9056</v>
      </c>
      <c r="C196" s="137">
        <f t="shared" si="17"/>
        <v>555537</v>
      </c>
      <c r="D196" s="1">
        <f>44+45</f>
        <v>89</v>
      </c>
      <c r="E196" s="21">
        <f t="shared" si="21"/>
        <v>11352</v>
      </c>
      <c r="F196" s="200">
        <v>428953</v>
      </c>
      <c r="G196" s="1">
        <v>2984</v>
      </c>
      <c r="H196" s="4">
        <v>17955</v>
      </c>
      <c r="I196" s="4">
        <f t="shared" si="22"/>
        <v>1581196</v>
      </c>
      <c r="J196" s="4"/>
      <c r="K196" s="7">
        <f t="shared" si="13"/>
        <v>1368.1983999999939</v>
      </c>
      <c r="L196" s="7">
        <f t="shared" si="23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20"/>
        <v>82734</v>
      </c>
      <c r="R196" s="1">
        <f t="shared" si="16"/>
        <v>1.2920681205371649</v>
      </c>
      <c r="S196" s="72">
        <f t="shared" si="18"/>
        <v>2.5895584559844486E-2</v>
      </c>
      <c r="T196" s="62">
        <f t="shared" si="12"/>
        <v>2.0434282505035668E-2</v>
      </c>
    </row>
    <row r="197" spans="1:21" ht="16.5" x14ac:dyDescent="0.25">
      <c r="A197" s="87">
        <v>44088</v>
      </c>
      <c r="B197" s="4">
        <v>9909</v>
      </c>
      <c r="C197" s="137">
        <f t="shared" si="17"/>
        <v>565446</v>
      </c>
      <c r="D197" s="4">
        <f>60+254</f>
        <v>314</v>
      </c>
      <c r="E197" s="7">
        <f t="shared" si="21"/>
        <v>11666</v>
      </c>
      <c r="F197" s="200">
        <v>438883</v>
      </c>
      <c r="G197" s="4">
        <v>2992</v>
      </c>
      <c r="H197" s="4">
        <v>21207</v>
      </c>
      <c r="I197" s="4">
        <f t="shared" si="22"/>
        <v>1602403</v>
      </c>
      <c r="J197" s="4"/>
      <c r="K197" s="7">
        <f t="shared" si="13"/>
        <v>1385.3168000000296</v>
      </c>
      <c r="L197" s="7">
        <f t="shared" si="23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20"/>
        <v>82341</v>
      </c>
      <c r="R197" s="1">
        <f t="shared" si="16"/>
        <v>1.245360807358632</v>
      </c>
      <c r="S197" s="72">
        <f t="shared" si="18"/>
        <v>2.6040714727103405E-2</v>
      </c>
      <c r="T197" s="62">
        <f t="shared" ref="T197:T210" si="24">E197/C187</f>
        <v>2.525753330937339E-2</v>
      </c>
    </row>
    <row r="198" spans="1:21" ht="16.5" x14ac:dyDescent="0.25">
      <c r="A198" s="75">
        <v>44089</v>
      </c>
      <c r="B198" s="4">
        <v>11892</v>
      </c>
      <c r="C198" s="137">
        <f t="shared" si="17"/>
        <v>577338</v>
      </c>
      <c r="D198" s="4">
        <f>43+142</f>
        <v>185</v>
      </c>
      <c r="E198" s="7">
        <f t="shared" si="21"/>
        <v>11851</v>
      </c>
      <c r="F198" s="200">
        <v>448263</v>
      </c>
      <c r="G198" s="4">
        <v>3049</v>
      </c>
      <c r="H198" s="4">
        <v>25791</v>
      </c>
      <c r="I198" s="4">
        <f t="shared" si="22"/>
        <v>1628194</v>
      </c>
      <c r="J198" s="4"/>
      <c r="K198" s="7">
        <f t="shared" si="13"/>
        <v>1407.344000000041</v>
      </c>
      <c r="L198" s="7">
        <f t="shared" si="23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20"/>
        <v>78619</v>
      </c>
      <c r="R198" s="1">
        <f t="shared" si="16"/>
        <v>1.2193943061837036</v>
      </c>
      <c r="S198" s="72">
        <f t="shared" si="18"/>
        <v>2.6010032075342932E-2</v>
      </c>
      <c r="T198" s="62">
        <f t="shared" si="24"/>
        <v>2.5118374925287089E-2</v>
      </c>
    </row>
    <row r="199" spans="1:21" ht="16.5" x14ac:dyDescent="0.25">
      <c r="A199" s="75">
        <v>44090</v>
      </c>
      <c r="B199" s="7">
        <v>11674</v>
      </c>
      <c r="C199" s="137">
        <f t="shared" si="17"/>
        <v>589012</v>
      </c>
      <c r="D199" s="4">
        <f>58+206</f>
        <v>264</v>
      </c>
      <c r="E199" s="7">
        <f t="shared" si="21"/>
        <v>12115</v>
      </c>
      <c r="F199" s="200">
        <v>456347</v>
      </c>
      <c r="G199" s="4">
        <v>3118</v>
      </c>
      <c r="H199" s="4">
        <v>25422</v>
      </c>
      <c r="I199" s="4">
        <f t="shared" si="22"/>
        <v>1653616</v>
      </c>
      <c r="J199" s="4"/>
      <c r="K199" s="7">
        <f t="shared" si="13"/>
        <v>1429.5023999999976</v>
      </c>
      <c r="L199" s="7">
        <f t="shared" si="23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1">
        <f t="shared" si="16"/>
        <v>1.1843842134800378</v>
      </c>
      <c r="S199" s="72">
        <f t="shared" si="18"/>
        <v>2.5864786395686436E-2</v>
      </c>
      <c r="T199" s="62">
        <f t="shared" si="24"/>
        <v>2.530326321241792E-2</v>
      </c>
      <c r="U199" s="146"/>
    </row>
    <row r="200" spans="1:21" ht="16.5" x14ac:dyDescent="0.25">
      <c r="A200" s="75">
        <v>44091</v>
      </c>
      <c r="B200" s="4">
        <v>12701</v>
      </c>
      <c r="C200" s="137">
        <f t="shared" si="17"/>
        <v>601713</v>
      </c>
      <c r="D200" s="4">
        <v>345</v>
      </c>
      <c r="E200" s="7">
        <f t="shared" si="21"/>
        <v>12460</v>
      </c>
      <c r="F200" s="200">
        <v>467286</v>
      </c>
      <c r="G200" s="4">
        <v>3108</v>
      </c>
      <c r="H200" s="4">
        <v>28633</v>
      </c>
      <c r="I200" s="4">
        <f t="shared" si="22"/>
        <v>1682249</v>
      </c>
      <c r="J200" s="4"/>
      <c r="K200" s="7">
        <f t="shared" si="13"/>
        <v>1451.9024000000209</v>
      </c>
      <c r="L200" s="7">
        <f t="shared" si="23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1">
        <f t="shared" si="16"/>
        <v>1.1550178798901116</v>
      </c>
      <c r="S200" s="72">
        <f t="shared" si="18"/>
        <v>2.5482302590044848E-2</v>
      </c>
      <c r="T200" s="62">
        <f t="shared" si="24"/>
        <v>2.5532420641507191E-2</v>
      </c>
      <c r="U200" s="146"/>
    </row>
    <row r="201" spans="1:21" ht="16.5" x14ac:dyDescent="0.25">
      <c r="A201" s="75">
        <v>44092</v>
      </c>
      <c r="B201" s="4">
        <v>11945</v>
      </c>
      <c r="C201" s="137">
        <f t="shared" si="17"/>
        <v>613658</v>
      </c>
      <c r="D201" s="4">
        <f>31+166</f>
        <v>197</v>
      </c>
      <c r="E201" s="7">
        <f t="shared" si="21"/>
        <v>12657</v>
      </c>
      <c r="F201" s="200">
        <v>478077</v>
      </c>
      <c r="G201" s="4">
        <v>3225</v>
      </c>
      <c r="H201" s="4">
        <v>25698</v>
      </c>
      <c r="I201" s="4">
        <f t="shared" si="22"/>
        <v>1707947</v>
      </c>
      <c r="J201" s="4"/>
      <c r="K201" s="7">
        <f t="shared" si="13"/>
        <v>1474.3456000000006</v>
      </c>
      <c r="L201" s="7">
        <f t="shared" si="23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1">
        <f t="shared" si="16"/>
        <v>1.1425560264681305</v>
      </c>
      <c r="S201" s="72">
        <f t="shared" si="18"/>
        <v>2.6235722885685465E-2</v>
      </c>
      <c r="T201" s="62">
        <f t="shared" si="24"/>
        <v>2.5312278765043977E-2</v>
      </c>
      <c r="U201" s="146"/>
    </row>
    <row r="202" spans="1:21" x14ac:dyDescent="0.25">
      <c r="A202" s="75">
        <v>44093</v>
      </c>
      <c r="B202" s="4">
        <v>9276</v>
      </c>
      <c r="C202" s="7">
        <f t="shared" si="17"/>
        <v>622934</v>
      </c>
      <c r="D202" s="4">
        <f>49+94</f>
        <v>143</v>
      </c>
      <c r="E202" s="7">
        <f t="shared" si="21"/>
        <v>12800</v>
      </c>
      <c r="F202" s="200">
        <v>488231</v>
      </c>
      <c r="G202" s="4">
        <v>3213</v>
      </c>
      <c r="H202" s="4">
        <v>21093</v>
      </c>
      <c r="I202" s="4">
        <f t="shared" si="22"/>
        <v>1729040</v>
      </c>
      <c r="J202" s="4"/>
      <c r="K202" s="7">
        <f t="shared" si="13"/>
        <v>1492.0336000000825</v>
      </c>
      <c r="L202" s="7">
        <f t="shared" si="23"/>
        <v>931028.96639999992</v>
      </c>
      <c r="M202" s="4">
        <v>932521</v>
      </c>
      <c r="N202" s="47">
        <v>1261</v>
      </c>
      <c r="O202" s="47">
        <v>133793</v>
      </c>
      <c r="P202" s="47">
        <v>406757</v>
      </c>
      <c r="Q202" s="47">
        <f>C202-P202-O202-N202</f>
        <v>81123</v>
      </c>
      <c r="R202" s="188">
        <f t="shared" si="16"/>
        <v>1.119433498266718</v>
      </c>
      <c r="S202" s="155">
        <f t="shared" si="18"/>
        <v>2.6357021566327327E-2</v>
      </c>
      <c r="T202" s="156">
        <f t="shared" si="24"/>
        <v>2.4985701541891066E-2</v>
      </c>
      <c r="U202" s="146"/>
    </row>
    <row r="203" spans="1:21" x14ac:dyDescent="0.25">
      <c r="A203" s="75">
        <v>44094</v>
      </c>
      <c r="B203" s="4">
        <v>8431</v>
      </c>
      <c r="C203" s="7">
        <f t="shared" si="17"/>
        <v>631365</v>
      </c>
      <c r="D203" s="4">
        <f>110+143</f>
        <v>253</v>
      </c>
      <c r="E203" s="7">
        <f t="shared" si="21"/>
        <v>13053</v>
      </c>
      <c r="F203" s="200">
        <v>498379</v>
      </c>
      <c r="G203" s="4">
        <v>3261</v>
      </c>
      <c r="H203" s="4">
        <v>15454</v>
      </c>
      <c r="I203" s="4">
        <v>1744494</v>
      </c>
      <c r="J203" s="4"/>
      <c r="K203" s="7">
        <v>1348</v>
      </c>
      <c r="L203" s="7">
        <v>939868</v>
      </c>
      <c r="M203" s="153">
        <f t="shared" ref="M203:M225" si="25">L203+K203</f>
        <v>941216</v>
      </c>
      <c r="N203" s="167">
        <v>1262</v>
      </c>
      <c r="O203" s="167">
        <v>134820</v>
      </c>
      <c r="P203" s="167">
        <v>412203</v>
      </c>
      <c r="Q203" s="167">
        <f>C203-P203-O203-N203</f>
        <v>83080</v>
      </c>
      <c r="R203" s="189">
        <f t="shared" si="16"/>
        <v>1.1166220231560766</v>
      </c>
      <c r="S203" s="190">
        <f t="shared" si="18"/>
        <v>2.7190181184494677E-2</v>
      </c>
      <c r="T203" s="191">
        <f t="shared" si="24"/>
        <v>2.4900896226235127E-2</v>
      </c>
      <c r="U203" s="146"/>
    </row>
    <row r="204" spans="1:21" x14ac:dyDescent="0.25">
      <c r="A204" s="75">
        <v>44095</v>
      </c>
      <c r="B204" s="4">
        <v>8782</v>
      </c>
      <c r="C204" s="7">
        <f t="shared" si="17"/>
        <v>640147</v>
      </c>
      <c r="D204" s="4">
        <v>427</v>
      </c>
      <c r="E204" s="7">
        <f t="shared" si="21"/>
        <v>13480</v>
      </c>
      <c r="F204" s="200">
        <v>508563</v>
      </c>
      <c r="G204" s="4">
        <v>3387</v>
      </c>
      <c r="H204" s="4">
        <v>18575</v>
      </c>
      <c r="I204" s="4">
        <f t="shared" ref="I204:I223" si="26">I203+H204</f>
        <v>1763069</v>
      </c>
      <c r="J204" s="4"/>
      <c r="K204" s="7">
        <v>1383</v>
      </c>
      <c r="L204" s="7">
        <v>949102</v>
      </c>
      <c r="M204" s="153">
        <f t="shared" si="25"/>
        <v>950485</v>
      </c>
      <c r="N204" s="192">
        <v>6401</v>
      </c>
      <c r="O204" s="192">
        <v>138272</v>
      </c>
      <c r="P204" s="193">
        <v>417376</v>
      </c>
      <c r="Q204" s="167">
        <f t="shared" ref="Q204:Q231" si="27">C204-P204-O204-N204</f>
        <v>78098</v>
      </c>
      <c r="R204" s="189">
        <f t="shared" si="16"/>
        <v>1.109377278693306</v>
      </c>
      <c r="S204" s="190">
        <f t="shared" si="18"/>
        <v>2.8678114204429995E-2</v>
      </c>
      <c r="T204" s="191">
        <f t="shared" si="24"/>
        <v>2.5163102827115671E-2</v>
      </c>
      <c r="U204" s="146"/>
    </row>
    <row r="205" spans="1:21" x14ac:dyDescent="0.25">
      <c r="A205" s="75">
        <v>44096</v>
      </c>
      <c r="B205" s="4">
        <v>12027</v>
      </c>
      <c r="C205" s="7">
        <f t="shared" si="17"/>
        <v>652174</v>
      </c>
      <c r="D205" s="4">
        <v>469</v>
      </c>
      <c r="E205" s="7">
        <f t="shared" si="21"/>
        <v>13949</v>
      </c>
      <c r="F205" s="200">
        <v>517228</v>
      </c>
      <c r="G205" s="4">
        <v>3362</v>
      </c>
      <c r="H205" s="4">
        <v>25766</v>
      </c>
      <c r="I205" s="4">
        <f t="shared" si="26"/>
        <v>1788835</v>
      </c>
      <c r="J205" s="4"/>
      <c r="K205" s="7">
        <v>1448</v>
      </c>
      <c r="L205" s="7">
        <v>961776</v>
      </c>
      <c r="M205" s="153">
        <f t="shared" si="25"/>
        <v>963224</v>
      </c>
      <c r="N205" s="194">
        <v>6521</v>
      </c>
      <c r="O205" s="194">
        <v>140870</v>
      </c>
      <c r="P205" s="194">
        <v>425218</v>
      </c>
      <c r="Q205" s="167">
        <f t="shared" si="27"/>
        <v>79565</v>
      </c>
      <c r="R205" s="189">
        <f t="shared" si="16"/>
        <v>1.0836491068121599</v>
      </c>
      <c r="S205" s="190">
        <f t="shared" si="18"/>
        <v>2.7785812871393506E-2</v>
      </c>
      <c r="T205" s="191">
        <f t="shared" si="24"/>
        <v>2.5525132621262221E-2</v>
      </c>
      <c r="U205" s="146"/>
    </row>
    <row r="206" spans="1:21" x14ac:dyDescent="0.25">
      <c r="A206" s="75">
        <v>44097</v>
      </c>
      <c r="B206" s="4">
        <v>12625</v>
      </c>
      <c r="C206" s="7">
        <f t="shared" si="17"/>
        <v>664799</v>
      </c>
      <c r="D206" s="4">
        <v>423</v>
      </c>
      <c r="E206" s="7">
        <f t="shared" si="21"/>
        <v>14372</v>
      </c>
      <c r="F206" s="200">
        <v>525486</v>
      </c>
      <c r="G206" s="4">
        <v>3511</v>
      </c>
      <c r="H206" s="4">
        <v>24903</v>
      </c>
      <c r="I206" s="4">
        <f t="shared" si="26"/>
        <v>1813738</v>
      </c>
      <c r="J206" s="4"/>
      <c r="K206" s="7">
        <v>1456</v>
      </c>
      <c r="L206" s="7">
        <v>974788</v>
      </c>
      <c r="M206" s="153">
        <f t="shared" si="25"/>
        <v>976244</v>
      </c>
      <c r="N206" s="194">
        <v>6647</v>
      </c>
      <c r="O206" s="194">
        <v>143597</v>
      </c>
      <c r="P206" s="194">
        <v>433450</v>
      </c>
      <c r="Q206" s="167">
        <f t="shared" si="27"/>
        <v>81105</v>
      </c>
      <c r="R206" s="189">
        <f t="shared" si="16"/>
        <v>1.0731923577636253</v>
      </c>
      <c r="S206" s="190">
        <f t="shared" si="18"/>
        <v>2.8101263796511955E-2</v>
      </c>
      <c r="T206" s="191">
        <f t="shared" si="24"/>
        <v>2.5870464073500056E-2</v>
      </c>
      <c r="U206" s="146"/>
    </row>
    <row r="207" spans="1:21" x14ac:dyDescent="0.25">
      <c r="A207" s="75">
        <v>44098</v>
      </c>
      <c r="B207" s="150">
        <v>13467</v>
      </c>
      <c r="C207" s="151">
        <f t="shared" si="17"/>
        <v>678266</v>
      </c>
      <c r="D207" s="4">
        <v>391</v>
      </c>
      <c r="E207" s="7">
        <f t="shared" si="21"/>
        <v>14763</v>
      </c>
      <c r="F207" s="200">
        <v>536589</v>
      </c>
      <c r="G207" s="4">
        <v>3527</v>
      </c>
      <c r="H207" s="4">
        <v>27253</v>
      </c>
      <c r="I207" s="4">
        <f t="shared" si="26"/>
        <v>1840991</v>
      </c>
      <c r="J207" s="211">
        <f t="shared" ref="J207:J220" si="28">B207/H207</f>
        <v>0.49414743331009431</v>
      </c>
      <c r="K207" s="7">
        <v>1488</v>
      </c>
      <c r="L207" s="7">
        <v>988976</v>
      </c>
      <c r="M207" s="43">
        <f t="shared" si="25"/>
        <v>990464</v>
      </c>
      <c r="N207" s="194">
        <v>6740</v>
      </c>
      <c r="O207" s="194">
        <v>143045</v>
      </c>
      <c r="P207" s="194">
        <v>449054</v>
      </c>
      <c r="Q207" s="167">
        <f t="shared" si="27"/>
        <v>79427</v>
      </c>
      <c r="R207" s="189">
        <f t="shared" si="16"/>
        <v>1.0706155407001794</v>
      </c>
      <c r="S207" s="190">
        <f t="shared" si="18"/>
        <v>2.7790472288321225E-2</v>
      </c>
      <c r="T207" s="191">
        <f t="shared" si="24"/>
        <v>2.6108593924088243E-2</v>
      </c>
      <c r="U207" s="146"/>
    </row>
    <row r="208" spans="1:21" x14ac:dyDescent="0.25">
      <c r="A208" s="75">
        <v>44099</v>
      </c>
      <c r="B208" s="4">
        <v>12969</v>
      </c>
      <c r="C208" s="7">
        <f t="shared" si="17"/>
        <v>691235</v>
      </c>
      <c r="D208" s="4">
        <v>442</v>
      </c>
      <c r="E208" s="7">
        <f t="shared" si="21"/>
        <v>15205</v>
      </c>
      <c r="F208" s="200">
        <v>546924</v>
      </c>
      <c r="G208" s="4">
        <v>3595</v>
      </c>
      <c r="H208" s="4">
        <v>25098</v>
      </c>
      <c r="I208" s="4">
        <f t="shared" si="26"/>
        <v>1866089</v>
      </c>
      <c r="J208" s="211">
        <f t="shared" si="28"/>
        <v>0.5167344011475018</v>
      </c>
      <c r="K208" s="7">
        <v>1500</v>
      </c>
      <c r="L208" s="7">
        <v>1001959</v>
      </c>
      <c r="M208" s="43">
        <f t="shared" si="25"/>
        <v>1003459</v>
      </c>
      <c r="N208" s="194">
        <v>6798</v>
      </c>
      <c r="O208" s="194">
        <v>145075</v>
      </c>
      <c r="P208" s="194">
        <v>458440</v>
      </c>
      <c r="Q208" s="167">
        <f t="shared" si="27"/>
        <v>80922</v>
      </c>
      <c r="R208" s="189">
        <f t="shared" si="16"/>
        <v>1.082354414875849</v>
      </c>
      <c r="S208" s="190">
        <f t="shared" si="18"/>
        <v>2.7845336390252971E-2</v>
      </c>
      <c r="T208" s="191">
        <f t="shared" si="24"/>
        <v>2.633639220006305E-2</v>
      </c>
      <c r="U208" s="146"/>
    </row>
    <row r="209" spans="1:21" x14ac:dyDescent="0.25">
      <c r="A209" s="75">
        <v>44100</v>
      </c>
      <c r="B209" s="4">
        <v>11249</v>
      </c>
      <c r="C209" s="7">
        <f t="shared" si="17"/>
        <v>702484</v>
      </c>
      <c r="D209" s="4">
        <v>337</v>
      </c>
      <c r="E209" s="7">
        <f t="shared" si="21"/>
        <v>15542</v>
      </c>
      <c r="F209" s="200">
        <v>556489</v>
      </c>
      <c r="G209" s="4">
        <v>3633</v>
      </c>
      <c r="H209" s="4">
        <v>22101</v>
      </c>
      <c r="I209" s="4">
        <f t="shared" si="26"/>
        <v>1888190</v>
      </c>
      <c r="J209" s="211">
        <f t="shared" si="28"/>
        <v>0.508981494050043</v>
      </c>
      <c r="K209" s="7">
        <v>1537</v>
      </c>
      <c r="L209" s="7">
        <v>1014163</v>
      </c>
      <c r="M209" s="43">
        <f t="shared" si="25"/>
        <v>1015700</v>
      </c>
      <c r="N209" s="194">
        <v>6835</v>
      </c>
      <c r="O209" s="194">
        <v>146416</v>
      </c>
      <c r="P209" s="194">
        <v>464913</v>
      </c>
      <c r="Q209" s="167">
        <f t="shared" si="27"/>
        <v>84320</v>
      </c>
      <c r="R209" s="189">
        <f t="shared" si="16"/>
        <v>1.0740901392159294</v>
      </c>
      <c r="S209" s="190">
        <f t="shared" si="18"/>
        <v>2.7849110407579741E-2</v>
      </c>
      <c r="T209" s="191">
        <f t="shared" si="24"/>
        <v>2.6386559187249158E-2</v>
      </c>
      <c r="U209" s="146"/>
    </row>
    <row r="210" spans="1:21" x14ac:dyDescent="0.25">
      <c r="A210" s="75">
        <v>44101</v>
      </c>
      <c r="B210" s="4">
        <v>8841</v>
      </c>
      <c r="C210" s="7">
        <f t="shared" si="17"/>
        <v>711325</v>
      </c>
      <c r="D210" s="4">
        <v>206</v>
      </c>
      <c r="E210" s="7">
        <f t="shared" si="21"/>
        <v>15748</v>
      </c>
      <c r="F210" s="200">
        <v>565935</v>
      </c>
      <c r="G210" s="4">
        <v>3604</v>
      </c>
      <c r="H210" s="4">
        <v>15171</v>
      </c>
      <c r="I210" s="4">
        <f t="shared" si="26"/>
        <v>1903361</v>
      </c>
      <c r="J210" s="211">
        <f t="shared" si="28"/>
        <v>0.58275657504449274</v>
      </c>
      <c r="K210" s="7">
        <v>1567</v>
      </c>
      <c r="L210" s="7">
        <v>1021244</v>
      </c>
      <c r="M210" s="43">
        <f t="shared" si="25"/>
        <v>1022811</v>
      </c>
      <c r="N210" s="194">
        <v>6874</v>
      </c>
      <c r="O210" s="194">
        <v>147538</v>
      </c>
      <c r="P210" s="194">
        <v>469799</v>
      </c>
      <c r="Q210" s="167">
        <f t="shared" si="27"/>
        <v>87114</v>
      </c>
      <c r="R210" s="189">
        <f t="shared" si="16"/>
        <v>1.0589826729476384</v>
      </c>
      <c r="S210" s="190">
        <f t="shared" si="18"/>
        <v>2.779963283503803E-2</v>
      </c>
      <c r="T210" s="191">
        <f t="shared" si="24"/>
        <v>2.6171945761517535E-2</v>
      </c>
      <c r="U210" s="146"/>
    </row>
    <row r="211" spans="1:21" x14ac:dyDescent="0.25">
      <c r="A211" s="75">
        <v>44102</v>
      </c>
      <c r="B211" s="4">
        <v>11807</v>
      </c>
      <c r="C211" s="7">
        <f t="shared" si="17"/>
        <v>723132</v>
      </c>
      <c r="D211" s="4">
        <v>365</v>
      </c>
      <c r="E211" s="7">
        <f t="shared" si="21"/>
        <v>16113</v>
      </c>
      <c r="F211" s="200">
        <v>576715</v>
      </c>
      <c r="G211" s="4">
        <v>3678</v>
      </c>
      <c r="H211" s="4">
        <v>21356</v>
      </c>
      <c r="I211" s="4">
        <f t="shared" si="26"/>
        <v>1924717</v>
      </c>
      <c r="J211" s="211">
        <f t="shared" si="28"/>
        <v>0.55286570518823752</v>
      </c>
      <c r="K211" s="7">
        <v>1611</v>
      </c>
      <c r="L211" s="7">
        <v>1031143</v>
      </c>
      <c r="M211" s="43">
        <f t="shared" si="25"/>
        <v>1032754</v>
      </c>
      <c r="N211" s="194">
        <v>6984</v>
      </c>
      <c r="O211" s="194">
        <v>149538</v>
      </c>
      <c r="P211" s="194">
        <v>478119</v>
      </c>
      <c r="Q211" s="167">
        <f t="shared" si="27"/>
        <v>88491</v>
      </c>
      <c r="R211" s="189">
        <f t="shared" si="16"/>
        <v>1.0675305156691106</v>
      </c>
      <c r="S211" s="190">
        <f t="shared" si="18"/>
        <v>2.8226301571709234E-2</v>
      </c>
      <c r="T211" s="191">
        <f>E211/C201</f>
        <v>2.6257296409400676E-2</v>
      </c>
      <c r="U211" s="146"/>
    </row>
    <row r="212" spans="1:21" x14ac:dyDescent="0.25">
      <c r="A212" s="75">
        <v>44103</v>
      </c>
      <c r="B212" s="152">
        <v>13477</v>
      </c>
      <c r="C212" s="7">
        <f t="shared" si="17"/>
        <v>736609</v>
      </c>
      <c r="D212" s="4">
        <v>405</v>
      </c>
      <c r="E212" s="7">
        <f t="shared" si="21"/>
        <v>16518</v>
      </c>
      <c r="F212" s="200">
        <v>585857</v>
      </c>
      <c r="G212" s="4">
        <v>3768</v>
      </c>
      <c r="H212" s="4">
        <v>25072</v>
      </c>
      <c r="I212" s="4">
        <f t="shared" si="26"/>
        <v>1949789</v>
      </c>
      <c r="J212" s="211">
        <f t="shared" si="28"/>
        <v>0.53753190810465856</v>
      </c>
      <c r="K212" s="7">
        <v>1774</v>
      </c>
      <c r="L212" s="66">
        <v>1043210</v>
      </c>
      <c r="M212" s="43">
        <f t="shared" si="25"/>
        <v>1044984</v>
      </c>
      <c r="N212" s="194">
        <v>7083</v>
      </c>
      <c r="O212" s="194">
        <v>151787</v>
      </c>
      <c r="P212" s="194">
        <v>487971</v>
      </c>
      <c r="Q212" s="167">
        <f t="shared" si="27"/>
        <v>89768</v>
      </c>
      <c r="R212" s="189">
        <f t="shared" si="16"/>
        <v>1.0682231269156734</v>
      </c>
      <c r="S212" s="190">
        <f t="shared" si="18"/>
        <v>2.8070384552348882E-2</v>
      </c>
      <c r="T212" s="191">
        <f t="shared" ref="T212:T214" si="29">E212/C202</f>
        <v>2.6516452786330493E-2</v>
      </c>
      <c r="U212" s="146"/>
    </row>
    <row r="213" spans="1:21" x14ac:dyDescent="0.25">
      <c r="A213" s="75">
        <v>44104</v>
      </c>
      <c r="B213" s="16">
        <v>14392</v>
      </c>
      <c r="C213" s="7">
        <f t="shared" si="17"/>
        <v>751001</v>
      </c>
      <c r="D213" s="4">
        <v>418</v>
      </c>
      <c r="E213" s="7">
        <f t="shared" si="21"/>
        <v>16936</v>
      </c>
      <c r="F213" s="200">
        <v>594645</v>
      </c>
      <c r="G213" s="4">
        <v>3792</v>
      </c>
      <c r="H213" s="4">
        <v>26524</v>
      </c>
      <c r="I213" s="4">
        <f t="shared" si="26"/>
        <v>1976313</v>
      </c>
      <c r="J213" s="211">
        <f t="shared" si="28"/>
        <v>0.54260292565223944</v>
      </c>
      <c r="K213" s="153">
        <v>2013</v>
      </c>
      <c r="L213" s="9">
        <v>1055774</v>
      </c>
      <c r="M213" s="183">
        <f t="shared" si="25"/>
        <v>1057787</v>
      </c>
      <c r="N213" s="194">
        <v>7162</v>
      </c>
      <c r="O213" s="194">
        <v>153949</v>
      </c>
      <c r="P213" s="194">
        <v>498519</v>
      </c>
      <c r="Q213" s="167">
        <f t="shared" si="27"/>
        <v>91371</v>
      </c>
      <c r="R213" s="189">
        <f t="shared" si="16"/>
        <v>1.0810798184730379</v>
      </c>
      <c r="S213" s="190">
        <f t="shared" si="18"/>
        <v>2.7198393343853107E-2</v>
      </c>
      <c r="T213" s="191">
        <f t="shared" si="29"/>
        <v>2.682442010564412E-2</v>
      </c>
      <c r="U213" s="146"/>
    </row>
    <row r="214" spans="1:21" x14ac:dyDescent="0.25">
      <c r="A214" s="75">
        <v>44105</v>
      </c>
      <c r="B214" s="4">
        <v>14001</v>
      </c>
      <c r="C214" s="7">
        <f t="shared" si="17"/>
        <v>765002</v>
      </c>
      <c r="D214" s="149">
        <v>3352</v>
      </c>
      <c r="E214" s="7">
        <f t="shared" si="21"/>
        <v>20288</v>
      </c>
      <c r="F214" s="200">
        <v>603140</v>
      </c>
      <c r="G214" s="169">
        <v>3799</v>
      </c>
      <c r="H214" s="4">
        <v>26662</v>
      </c>
      <c r="I214" s="4">
        <f t="shared" si="26"/>
        <v>2002975</v>
      </c>
      <c r="J214" s="211">
        <f t="shared" si="28"/>
        <v>0.52512939764458777</v>
      </c>
      <c r="K214" s="153">
        <v>1482</v>
      </c>
      <c r="L214" s="9">
        <v>1068705</v>
      </c>
      <c r="M214" s="183">
        <f t="shared" si="25"/>
        <v>1070187</v>
      </c>
      <c r="N214" s="194">
        <v>7226</v>
      </c>
      <c r="O214" s="194">
        <v>155848</v>
      </c>
      <c r="P214" s="194">
        <v>508945</v>
      </c>
      <c r="Q214" s="167">
        <f t="shared" si="27"/>
        <v>92983</v>
      </c>
      <c r="R214" s="189">
        <f t="shared" si="16"/>
        <v>1.0848686177457396</v>
      </c>
      <c r="S214" s="190">
        <f t="shared" si="18"/>
        <v>2.6834023196349612E-2</v>
      </c>
      <c r="T214" s="191">
        <f t="shared" si="29"/>
        <v>3.1692720578242184E-2</v>
      </c>
      <c r="U214" s="146"/>
    </row>
    <row r="215" spans="1:21" x14ac:dyDescent="0.25">
      <c r="A215" s="75">
        <v>44106</v>
      </c>
      <c r="B215" s="150">
        <v>14687</v>
      </c>
      <c r="C215" s="7">
        <f t="shared" si="17"/>
        <v>779689</v>
      </c>
      <c r="D215" s="4">
        <v>309</v>
      </c>
      <c r="E215" s="7">
        <f t="shared" si="21"/>
        <v>20597</v>
      </c>
      <c r="F215" s="200">
        <v>614515</v>
      </c>
      <c r="G215" s="169">
        <v>3828</v>
      </c>
      <c r="H215" s="4">
        <v>27537</v>
      </c>
      <c r="I215" s="4">
        <f t="shared" si="26"/>
        <v>2030512</v>
      </c>
      <c r="J215" s="211">
        <f t="shared" si="28"/>
        <v>0.53335512219922288</v>
      </c>
      <c r="K215" s="7">
        <v>1492</v>
      </c>
      <c r="L215" s="9">
        <v>1082729</v>
      </c>
      <c r="M215" s="43">
        <f t="shared" si="25"/>
        <v>1084221</v>
      </c>
      <c r="N215" s="194">
        <v>7323</v>
      </c>
      <c r="O215" s="194">
        <v>158001</v>
      </c>
      <c r="P215" s="194">
        <v>520163</v>
      </c>
      <c r="Q215" s="167">
        <f t="shared" si="27"/>
        <v>94202</v>
      </c>
      <c r="R215" s="189">
        <f t="shared" si="16"/>
        <v>1.0939213050811722</v>
      </c>
      <c r="S215" s="190">
        <f t="shared" si="18"/>
        <v>2.6477240501601221E-2</v>
      </c>
      <c r="T215" s="62">
        <f t="shared" ref="T215:T232" si="30">E215/C195</f>
        <v>3.7690239916849805E-2</v>
      </c>
      <c r="U215" s="146"/>
    </row>
    <row r="216" spans="1:21" x14ac:dyDescent="0.25">
      <c r="A216" s="87">
        <v>44107</v>
      </c>
      <c r="B216" s="47">
        <v>11129</v>
      </c>
      <c r="C216" s="66">
        <f t="shared" si="17"/>
        <v>790818</v>
      </c>
      <c r="D216" s="47">
        <v>195</v>
      </c>
      <c r="E216" s="66">
        <f t="shared" si="21"/>
        <v>20792</v>
      </c>
      <c r="F216" s="200">
        <v>626114</v>
      </c>
      <c r="G216" s="169">
        <v>3820</v>
      </c>
      <c r="H216" s="47">
        <v>20525</v>
      </c>
      <c r="I216" s="47">
        <f t="shared" si="26"/>
        <v>2051037</v>
      </c>
      <c r="J216" s="211">
        <f t="shared" si="28"/>
        <v>0.54221680876979295</v>
      </c>
      <c r="K216" s="66">
        <v>1499</v>
      </c>
      <c r="L216" s="66">
        <v>1095695</v>
      </c>
      <c r="M216" s="184">
        <f t="shared" si="25"/>
        <v>1097194</v>
      </c>
      <c r="N216" s="194">
        <v>7387</v>
      </c>
      <c r="O216" s="194">
        <v>159347</v>
      </c>
      <c r="P216" s="194">
        <v>527803</v>
      </c>
      <c r="Q216" s="167">
        <f t="shared" si="27"/>
        <v>96281</v>
      </c>
      <c r="R216" s="189">
        <f t="shared" si="16"/>
        <v>1.1108729024403154</v>
      </c>
      <c r="S216" s="190">
        <f t="shared" si="18"/>
        <v>2.6543999110567568E-2</v>
      </c>
      <c r="T216" s="62">
        <f t="shared" si="30"/>
        <v>3.7426850056791895E-2</v>
      </c>
      <c r="U216" s="146"/>
    </row>
    <row r="217" spans="1:21" x14ac:dyDescent="0.25">
      <c r="A217" s="75">
        <v>44108</v>
      </c>
      <c r="B217" s="4">
        <v>7668</v>
      </c>
      <c r="C217" s="7">
        <f t="shared" si="17"/>
        <v>798486</v>
      </c>
      <c r="D217" s="4">
        <v>222</v>
      </c>
      <c r="E217" s="7">
        <f t="shared" si="21"/>
        <v>21014</v>
      </c>
      <c r="F217" s="200">
        <v>636672</v>
      </c>
      <c r="G217" s="169">
        <v>3950</v>
      </c>
      <c r="H217" s="4">
        <v>13213</v>
      </c>
      <c r="I217" s="4">
        <f t="shared" si="26"/>
        <v>2064250</v>
      </c>
      <c r="J217" s="211">
        <f t="shared" si="28"/>
        <v>0.58033754635586166</v>
      </c>
      <c r="K217" s="7">
        <v>1504</v>
      </c>
      <c r="L217" s="7">
        <v>1103068</v>
      </c>
      <c r="M217" s="43">
        <f t="shared" si="25"/>
        <v>1104572</v>
      </c>
      <c r="N217" s="194">
        <v>7425</v>
      </c>
      <c r="O217" s="194">
        <v>160401</v>
      </c>
      <c r="P217" s="194">
        <v>533573</v>
      </c>
      <c r="Q217" s="167">
        <f t="shared" si="27"/>
        <v>97087</v>
      </c>
      <c r="R217" s="189">
        <f t="shared" si="16"/>
        <v>1.0953510778447038</v>
      </c>
      <c r="S217" s="190">
        <f t="shared" si="18"/>
        <v>2.8053977272727272E-2</v>
      </c>
      <c r="T217" s="62">
        <f t="shared" si="30"/>
        <v>3.7163584144197674E-2</v>
      </c>
      <c r="U217" s="146"/>
    </row>
    <row r="218" spans="1:21" x14ac:dyDescent="0.25">
      <c r="A218" s="75">
        <v>44109</v>
      </c>
      <c r="B218" s="161">
        <v>11242</v>
      </c>
      <c r="C218" s="7">
        <f t="shared" si="17"/>
        <v>809728</v>
      </c>
      <c r="D218" s="4">
        <v>451</v>
      </c>
      <c r="E218" s="7">
        <f t="shared" si="21"/>
        <v>21465</v>
      </c>
      <c r="F218" s="200">
        <v>649017</v>
      </c>
      <c r="G218" s="169">
        <v>3978</v>
      </c>
      <c r="H218" s="4">
        <v>20263</v>
      </c>
      <c r="I218" s="4">
        <f t="shared" si="26"/>
        <v>2084513</v>
      </c>
      <c r="J218" s="211">
        <f t="shared" si="28"/>
        <v>0.55480432315057004</v>
      </c>
      <c r="K218" s="7">
        <v>1508</v>
      </c>
      <c r="L218" s="7">
        <v>1113469</v>
      </c>
      <c r="M218" s="43">
        <f t="shared" si="25"/>
        <v>1114977</v>
      </c>
      <c r="N218" s="194">
        <v>7503</v>
      </c>
      <c r="O218" s="194">
        <v>162682</v>
      </c>
      <c r="P218" s="194">
        <v>544916</v>
      </c>
      <c r="Q218" s="167">
        <f t="shared" si="27"/>
        <v>94627</v>
      </c>
      <c r="R218" s="189">
        <f t="shared" si="16"/>
        <v>1.1146378335743394</v>
      </c>
      <c r="S218" s="190">
        <f t="shared" si="18"/>
        <v>2.856814558407423E-2</v>
      </c>
      <c r="T218" s="62">
        <f t="shared" si="30"/>
        <v>3.7179260675722019E-2</v>
      </c>
      <c r="U218" s="146"/>
    </row>
    <row r="219" spans="1:21" x14ac:dyDescent="0.25">
      <c r="A219" s="75">
        <v>44110</v>
      </c>
      <c r="B219" s="161">
        <v>14740</v>
      </c>
      <c r="C219" s="7">
        <f t="shared" si="17"/>
        <v>824468</v>
      </c>
      <c r="D219" s="4">
        <v>359</v>
      </c>
      <c r="E219" s="7">
        <f t="shared" si="21"/>
        <v>21824</v>
      </c>
      <c r="F219" s="200">
        <v>660272</v>
      </c>
      <c r="G219" s="169">
        <v>4007</v>
      </c>
      <c r="H219" s="4">
        <v>26481</v>
      </c>
      <c r="I219" s="4">
        <f t="shared" si="26"/>
        <v>2110994</v>
      </c>
      <c r="J219" s="211">
        <f t="shared" si="28"/>
        <v>0.55662550507911335</v>
      </c>
      <c r="K219" s="7">
        <v>1528</v>
      </c>
      <c r="L219" s="7">
        <v>1127417</v>
      </c>
      <c r="M219" s="43">
        <f t="shared" si="25"/>
        <v>1128945</v>
      </c>
      <c r="N219" s="194">
        <v>7581</v>
      </c>
      <c r="O219" s="194">
        <v>165737</v>
      </c>
      <c r="P219" s="194">
        <v>556132</v>
      </c>
      <c r="Q219" s="167">
        <f t="shared" si="27"/>
        <v>95018</v>
      </c>
      <c r="R219" s="189">
        <f t="shared" si="16"/>
        <v>1.1324700933350862</v>
      </c>
      <c r="S219" s="190">
        <f t="shared" si="18"/>
        <v>2.8144578990250892E-2</v>
      </c>
      <c r="T219" s="62">
        <f t="shared" si="30"/>
        <v>3.7051876702002676E-2</v>
      </c>
      <c r="U219" s="146"/>
    </row>
    <row r="220" spans="1:21" x14ac:dyDescent="0.25">
      <c r="A220" s="75">
        <v>44111</v>
      </c>
      <c r="B220" s="161">
        <v>16447</v>
      </c>
      <c r="C220" s="7">
        <f t="shared" si="17"/>
        <v>840915</v>
      </c>
      <c r="D220" s="4">
        <v>401</v>
      </c>
      <c r="E220" s="7">
        <f t="shared" si="21"/>
        <v>22225</v>
      </c>
      <c r="F220" s="200">
        <v>670725</v>
      </c>
      <c r="G220" s="169">
        <v>3997</v>
      </c>
      <c r="H220" s="162">
        <v>29441</v>
      </c>
      <c r="I220" s="4">
        <f t="shared" si="26"/>
        <v>2140435</v>
      </c>
      <c r="J220" s="211">
        <f t="shared" si="28"/>
        <v>0.55864270914710779</v>
      </c>
      <c r="K220" s="7">
        <v>1542</v>
      </c>
      <c r="L220" s="7">
        <v>1142661</v>
      </c>
      <c r="M220" s="43">
        <f t="shared" si="25"/>
        <v>1144203</v>
      </c>
      <c r="N220" s="194">
        <v>7669</v>
      </c>
      <c r="O220" s="194">
        <v>168593</v>
      </c>
      <c r="P220" s="194">
        <v>568246</v>
      </c>
      <c r="Q220" s="167">
        <f t="shared" si="27"/>
        <v>96407</v>
      </c>
      <c r="R220" s="189">
        <f t="shared" ref="R220:R232" si="31">AVERAGE(B207:B220)/AVERAGE(B193:B206)</f>
        <v>1.1548135811050058</v>
      </c>
      <c r="S220" s="190">
        <f t="shared" si="18"/>
        <v>2.7013145000506878E-2</v>
      </c>
      <c r="T220" s="62">
        <f t="shared" si="30"/>
        <v>3.6936213776335228E-2</v>
      </c>
      <c r="U220" s="146"/>
    </row>
    <row r="221" spans="1:21" x14ac:dyDescent="0.25">
      <c r="A221" s="75">
        <v>44112</v>
      </c>
      <c r="B221" s="4">
        <v>15454</v>
      </c>
      <c r="C221" s="16">
        <f t="shared" si="17"/>
        <v>856369</v>
      </c>
      <c r="D221" s="4">
        <v>485</v>
      </c>
      <c r="E221" s="7">
        <f t="shared" si="21"/>
        <v>22710</v>
      </c>
      <c r="F221" s="200">
        <v>684844</v>
      </c>
      <c r="G221" s="169">
        <v>4043</v>
      </c>
      <c r="H221" s="4">
        <v>25841</v>
      </c>
      <c r="I221" s="4">
        <f t="shared" si="26"/>
        <v>2166276</v>
      </c>
      <c r="J221" s="211">
        <f t="shared" ref="J221:J226" si="32">B221/H221</f>
        <v>0.59804187144460352</v>
      </c>
      <c r="K221" s="7">
        <v>1544</v>
      </c>
      <c r="L221" s="7">
        <v>1155668</v>
      </c>
      <c r="M221" s="43">
        <f t="shared" si="25"/>
        <v>1157212</v>
      </c>
      <c r="N221" s="194">
        <v>7761</v>
      </c>
      <c r="O221" s="194">
        <v>171322</v>
      </c>
      <c r="P221" s="194">
        <v>578517</v>
      </c>
      <c r="Q221" s="167">
        <f t="shared" si="27"/>
        <v>98769</v>
      </c>
      <c r="R221" s="189">
        <f t="shared" si="31"/>
        <v>1.1560025443310746</v>
      </c>
      <c r="S221" s="190">
        <f t="shared" si="18"/>
        <v>2.7167960219063939E-2</v>
      </c>
      <c r="T221" s="62">
        <f t="shared" si="30"/>
        <v>3.7007584028889054E-2</v>
      </c>
      <c r="U221" s="146"/>
    </row>
    <row r="222" spans="1:21" x14ac:dyDescent="0.25">
      <c r="A222" s="163">
        <v>44113</v>
      </c>
      <c r="B222" s="164">
        <v>15099</v>
      </c>
      <c r="C222" s="16">
        <f t="shared" si="17"/>
        <v>871468</v>
      </c>
      <c r="D222" s="165">
        <v>514</v>
      </c>
      <c r="E222" s="66">
        <f t="shared" si="21"/>
        <v>23224</v>
      </c>
      <c r="F222" s="200">
        <v>697141</v>
      </c>
      <c r="G222" s="169">
        <v>4092</v>
      </c>
      <c r="H222" s="47">
        <v>25174</v>
      </c>
      <c r="I222" s="47">
        <f t="shared" si="26"/>
        <v>2191450</v>
      </c>
      <c r="J222" s="211">
        <f t="shared" si="32"/>
        <v>0.59978549296893624</v>
      </c>
      <c r="K222" s="66">
        <v>1564</v>
      </c>
      <c r="L222" s="66">
        <v>1172099</v>
      </c>
      <c r="M222" s="184">
        <f t="shared" si="25"/>
        <v>1173663</v>
      </c>
      <c r="N222" s="194">
        <v>7817</v>
      </c>
      <c r="O222" s="194">
        <v>174267</v>
      </c>
      <c r="P222" s="194">
        <v>588788</v>
      </c>
      <c r="Q222" s="167">
        <f t="shared" si="27"/>
        <v>100596</v>
      </c>
      <c r="R222" s="189">
        <f t="shared" si="31"/>
        <v>1.158831093679676</v>
      </c>
      <c r="S222" s="190">
        <f t="shared" si="18"/>
        <v>2.7080865369979418E-2</v>
      </c>
      <c r="T222" s="62">
        <f t="shared" si="30"/>
        <v>3.7281638183178312E-2</v>
      </c>
      <c r="U222" s="146"/>
    </row>
    <row r="223" spans="1:21" x14ac:dyDescent="0.25">
      <c r="A223" s="166">
        <v>44114</v>
      </c>
      <c r="B223" s="167">
        <v>12414</v>
      </c>
      <c r="C223" s="16">
        <f t="shared" si="17"/>
        <v>883882</v>
      </c>
      <c r="D223" s="167">
        <v>357</v>
      </c>
      <c r="E223" s="168">
        <f t="shared" si="21"/>
        <v>23581</v>
      </c>
      <c r="F223" s="200">
        <v>709464</v>
      </c>
      <c r="G223" s="169">
        <v>4200</v>
      </c>
      <c r="H223" s="167">
        <v>19871</v>
      </c>
      <c r="I223" s="167">
        <f t="shared" si="26"/>
        <v>2211321</v>
      </c>
      <c r="J223" s="211">
        <f t="shared" si="32"/>
        <v>0.62472950530924465</v>
      </c>
      <c r="K223" s="168">
        <v>1566</v>
      </c>
      <c r="L223" s="168">
        <v>1182752</v>
      </c>
      <c r="M223" s="185">
        <f t="shared" si="25"/>
        <v>1184318</v>
      </c>
      <c r="N223" s="194">
        <v>7886</v>
      </c>
      <c r="O223" s="194">
        <v>176230</v>
      </c>
      <c r="P223" s="194">
        <v>594738</v>
      </c>
      <c r="Q223" s="167">
        <f t="shared" si="27"/>
        <v>105028</v>
      </c>
      <c r="R223" s="189">
        <f t="shared" si="31"/>
        <v>1.1627853310513259</v>
      </c>
      <c r="S223" s="190">
        <f t="shared" si="18"/>
        <v>2.7844626981443545E-2</v>
      </c>
      <c r="T223" s="62">
        <f t="shared" si="30"/>
        <v>3.7349235386820619E-2</v>
      </c>
      <c r="U223" s="146"/>
    </row>
    <row r="224" spans="1:21" x14ac:dyDescent="0.25">
      <c r="A224" s="166">
        <v>44115</v>
      </c>
      <c r="B224" s="167">
        <v>10324</v>
      </c>
      <c r="C224" s="16">
        <f t="shared" si="17"/>
        <v>894206</v>
      </c>
      <c r="D224" s="167">
        <v>287</v>
      </c>
      <c r="E224" s="168">
        <f t="shared" si="21"/>
        <v>23868</v>
      </c>
      <c r="F224" s="200">
        <v>721380</v>
      </c>
      <c r="G224" s="169">
        <v>4237</v>
      </c>
      <c r="H224" s="167">
        <v>14237</v>
      </c>
      <c r="I224" s="16">
        <v>2225558</v>
      </c>
      <c r="J224" s="211">
        <f t="shared" si="32"/>
        <v>0.72515277094893582</v>
      </c>
      <c r="K224" s="168">
        <v>1567</v>
      </c>
      <c r="L224" s="168">
        <v>1189378</v>
      </c>
      <c r="M224" s="185">
        <f t="shared" si="25"/>
        <v>1190945</v>
      </c>
      <c r="N224" s="194">
        <v>7932</v>
      </c>
      <c r="O224" s="194">
        <v>177557</v>
      </c>
      <c r="P224" s="194">
        <v>599352</v>
      </c>
      <c r="Q224" s="167">
        <f t="shared" si="27"/>
        <v>109365</v>
      </c>
      <c r="R224" s="189">
        <f t="shared" si="31"/>
        <v>1.1739094153593344</v>
      </c>
      <c r="S224" s="190">
        <f t="shared" si="18"/>
        <v>2.8444259455685496E-2</v>
      </c>
      <c r="T224" s="62">
        <f t="shared" si="30"/>
        <v>3.7285186058827115E-2</v>
      </c>
      <c r="U224" s="146"/>
    </row>
    <row r="225" spans="1:21" x14ac:dyDescent="0.25">
      <c r="A225" s="166">
        <v>44116</v>
      </c>
      <c r="B225" s="167">
        <v>9524</v>
      </c>
      <c r="C225" s="16">
        <f t="shared" ref="C225:C230" si="33">C224+B225</f>
        <v>903730</v>
      </c>
      <c r="D225" s="167">
        <v>318</v>
      </c>
      <c r="E225" s="168">
        <f t="shared" si="21"/>
        <v>24186</v>
      </c>
      <c r="F225" s="200">
        <v>732582</v>
      </c>
      <c r="G225" s="169">
        <v>4287</v>
      </c>
      <c r="H225" s="167">
        <v>13956</v>
      </c>
      <c r="I225" s="16">
        <f t="shared" ref="I225:I231" si="34">I224+H225</f>
        <v>2239514</v>
      </c>
      <c r="J225" s="211">
        <f t="shared" si="32"/>
        <v>0.68243049584408144</v>
      </c>
      <c r="K225" s="168">
        <v>1567</v>
      </c>
      <c r="L225" s="168">
        <v>1196534</v>
      </c>
      <c r="M225" s="186">
        <f t="shared" si="25"/>
        <v>1198101</v>
      </c>
      <c r="N225" s="194">
        <v>7963</v>
      </c>
      <c r="O225" s="194">
        <v>179298</v>
      </c>
      <c r="P225" s="194">
        <v>608522</v>
      </c>
      <c r="Q225" s="167">
        <f t="shared" si="27"/>
        <v>107947</v>
      </c>
      <c r="R225" s="189">
        <f t="shared" si="31"/>
        <v>1.1453014218129702</v>
      </c>
      <c r="S225" s="190">
        <f t="shared" si="18"/>
        <v>2.9170806058709055E-2</v>
      </c>
      <c r="T225" s="62">
        <f t="shared" si="30"/>
        <v>3.7085195055307323E-2</v>
      </c>
      <c r="U225" s="146"/>
    </row>
    <row r="226" spans="1:21" x14ac:dyDescent="0.25">
      <c r="A226" s="166">
        <v>44117</v>
      </c>
      <c r="B226" s="167">
        <v>13305</v>
      </c>
      <c r="C226" s="16">
        <f t="shared" si="33"/>
        <v>917035</v>
      </c>
      <c r="D226" s="167">
        <v>385</v>
      </c>
      <c r="E226" s="168">
        <f t="shared" si="21"/>
        <v>24571</v>
      </c>
      <c r="F226" s="200">
        <v>742235</v>
      </c>
      <c r="G226" s="169">
        <v>4294</v>
      </c>
      <c r="H226" s="169">
        <v>20544</v>
      </c>
      <c r="I226" s="16">
        <f t="shared" si="34"/>
        <v>2260058</v>
      </c>
      <c r="J226" s="211">
        <f t="shared" si="32"/>
        <v>0.6476343457943925</v>
      </c>
      <c r="K226" s="168">
        <v>1574</v>
      </c>
      <c r="L226" s="168">
        <v>1207475</v>
      </c>
      <c r="M226" s="187">
        <f t="shared" ref="M226:M229" si="35">K226+L226</f>
        <v>1209049</v>
      </c>
      <c r="N226" s="194">
        <v>8033</v>
      </c>
      <c r="O226" s="194">
        <v>182045</v>
      </c>
      <c r="P226" s="194">
        <v>619199</v>
      </c>
      <c r="Q226" s="167">
        <f t="shared" si="27"/>
        <v>107758</v>
      </c>
      <c r="R226" s="189">
        <f t="shared" si="31"/>
        <v>1.1328239290266275</v>
      </c>
      <c r="S226" s="190">
        <f t="shared" ref="S226:S234" si="36">G226/(C226-E226-F226)</f>
        <v>2.8583029907674282E-2</v>
      </c>
      <c r="T226" s="62">
        <f t="shared" si="30"/>
        <v>3.6960043562039052E-2</v>
      </c>
      <c r="U226" s="146"/>
    </row>
    <row r="227" spans="1:21" x14ac:dyDescent="0.25">
      <c r="A227" s="166">
        <v>44118</v>
      </c>
      <c r="B227" s="167">
        <v>14932</v>
      </c>
      <c r="C227" s="16">
        <f t="shared" si="33"/>
        <v>931967</v>
      </c>
      <c r="D227" s="167">
        <v>350</v>
      </c>
      <c r="E227" s="168">
        <f t="shared" si="21"/>
        <v>24921</v>
      </c>
      <c r="F227" s="200">
        <v>751146</v>
      </c>
      <c r="G227" s="169">
        <v>4316</v>
      </c>
      <c r="H227" s="167">
        <v>23519</v>
      </c>
      <c r="I227" s="16">
        <f t="shared" si="34"/>
        <v>2283577</v>
      </c>
      <c r="J227" s="211">
        <f t="shared" ref="J227:J232" si="37">B227/H227</f>
        <v>0.63489093924061402</v>
      </c>
      <c r="K227" s="168">
        <v>1574</v>
      </c>
      <c r="L227" s="168">
        <v>1219715</v>
      </c>
      <c r="M227" s="187">
        <f t="shared" si="35"/>
        <v>1221289</v>
      </c>
      <c r="N227" s="194">
        <v>8098</v>
      </c>
      <c r="O227" s="194">
        <v>184890</v>
      </c>
      <c r="P227" s="194">
        <v>629734</v>
      </c>
      <c r="Q227" s="167">
        <f t="shared" si="27"/>
        <v>109245</v>
      </c>
      <c r="R227" s="189">
        <f t="shared" si="31"/>
        <v>1.1171499299335139</v>
      </c>
      <c r="S227" s="190">
        <f t="shared" si="36"/>
        <v>2.7684413085311096E-2</v>
      </c>
      <c r="T227" s="62">
        <f t="shared" si="30"/>
        <v>3.6742222078063769E-2</v>
      </c>
      <c r="U227" s="146"/>
    </row>
    <row r="228" spans="1:21" x14ac:dyDescent="0.25">
      <c r="A228" s="166">
        <v>44119</v>
      </c>
      <c r="B228" s="170">
        <v>17096</v>
      </c>
      <c r="C228" s="16">
        <f t="shared" si="33"/>
        <v>949063</v>
      </c>
      <c r="D228" s="167">
        <v>421</v>
      </c>
      <c r="E228" s="168">
        <f t="shared" si="21"/>
        <v>25342</v>
      </c>
      <c r="F228" s="200">
        <v>764859</v>
      </c>
      <c r="G228" s="169">
        <v>4278</v>
      </c>
      <c r="H228" s="167">
        <v>27662</v>
      </c>
      <c r="I228" s="16">
        <f t="shared" si="34"/>
        <v>2311239</v>
      </c>
      <c r="J228" s="211">
        <f t="shared" si="37"/>
        <v>0.61803195719759962</v>
      </c>
      <c r="K228" s="168">
        <v>1575</v>
      </c>
      <c r="L228" s="168">
        <v>1234321</v>
      </c>
      <c r="M228" s="187">
        <f t="shared" si="35"/>
        <v>1235896</v>
      </c>
      <c r="N228" s="194">
        <v>8172</v>
      </c>
      <c r="O228" s="194">
        <v>187747</v>
      </c>
      <c r="P228" s="194">
        <v>642465</v>
      </c>
      <c r="Q228" s="167">
        <f t="shared" si="27"/>
        <v>110679</v>
      </c>
      <c r="R228" s="189">
        <f t="shared" si="31"/>
        <v>1.1272100386431421</v>
      </c>
      <c r="S228" s="190">
        <f t="shared" si="36"/>
        <v>2.692903274540167E-2</v>
      </c>
      <c r="T228" s="62">
        <f t="shared" si="30"/>
        <v>3.6661916714286751E-2</v>
      </c>
      <c r="U228" s="146"/>
    </row>
    <row r="229" spans="1:21" x14ac:dyDescent="0.25">
      <c r="A229" s="166">
        <v>44120</v>
      </c>
      <c r="B229" s="16">
        <v>16546</v>
      </c>
      <c r="C229" s="16">
        <f t="shared" si="33"/>
        <v>965609</v>
      </c>
      <c r="D229" s="167">
        <v>379</v>
      </c>
      <c r="E229" s="168">
        <f t="shared" si="21"/>
        <v>25721</v>
      </c>
      <c r="F229" s="200">
        <v>778501</v>
      </c>
      <c r="G229" s="169">
        <v>4346</v>
      </c>
      <c r="H229" s="167">
        <v>27412</v>
      </c>
      <c r="I229" s="16">
        <f t="shared" si="34"/>
        <v>2338651</v>
      </c>
      <c r="J229" s="211">
        <f t="shared" si="37"/>
        <v>0.60360426090763164</v>
      </c>
      <c r="K229" s="168">
        <v>1597</v>
      </c>
      <c r="L229" s="168">
        <v>1248101</v>
      </c>
      <c r="M229" s="187">
        <f t="shared" si="35"/>
        <v>1249698</v>
      </c>
      <c r="N229" s="194">
        <v>8249</v>
      </c>
      <c r="O229" s="194">
        <v>190484</v>
      </c>
      <c r="P229" s="194">
        <v>653179</v>
      </c>
      <c r="Q229" s="167">
        <f t="shared" si="27"/>
        <v>113697</v>
      </c>
      <c r="R229" s="189">
        <f t="shared" si="31"/>
        <v>1.1197908824255711</v>
      </c>
      <c r="S229" s="190">
        <f t="shared" si="36"/>
        <v>2.6929058722201912E-2</v>
      </c>
      <c r="T229" s="62">
        <f t="shared" si="30"/>
        <v>3.6614357052972023E-2</v>
      </c>
      <c r="U229" s="146"/>
    </row>
    <row r="230" spans="1:21" x14ac:dyDescent="0.25">
      <c r="A230" s="197">
        <v>44121</v>
      </c>
      <c r="B230" s="16">
        <v>13510</v>
      </c>
      <c r="C230" s="16">
        <f t="shared" si="33"/>
        <v>979119</v>
      </c>
      <c r="D230" s="198">
        <v>383</v>
      </c>
      <c r="E230" s="199">
        <f t="shared" si="21"/>
        <v>26104</v>
      </c>
      <c r="F230" s="200">
        <v>791174</v>
      </c>
      <c r="G230" s="169">
        <v>4386</v>
      </c>
      <c r="H230" s="198">
        <v>20955</v>
      </c>
      <c r="I230" s="16">
        <f t="shared" si="34"/>
        <v>2359606</v>
      </c>
      <c r="J230" s="211">
        <f t="shared" si="37"/>
        <v>0.64471486518730614</v>
      </c>
      <c r="K230" s="199">
        <v>1611</v>
      </c>
      <c r="L230" s="199">
        <v>1260920</v>
      </c>
      <c r="M230" s="202">
        <f>K230+L230</f>
        <v>1262531</v>
      </c>
      <c r="N230" s="203">
        <v>8311</v>
      </c>
      <c r="O230" s="203">
        <v>192192</v>
      </c>
      <c r="P230" s="203">
        <v>661955</v>
      </c>
      <c r="Q230" s="198">
        <f t="shared" si="27"/>
        <v>116661</v>
      </c>
      <c r="R230" s="204">
        <f t="shared" si="31"/>
        <v>1.1216137332920351</v>
      </c>
      <c r="S230" s="205">
        <f t="shared" si="36"/>
        <v>2.7100672882644075E-2</v>
      </c>
      <c r="T230" s="62">
        <f t="shared" si="30"/>
        <v>3.6697712016307595E-2</v>
      </c>
      <c r="U230" s="146"/>
    </row>
    <row r="231" spans="1:21" x14ac:dyDescent="0.25">
      <c r="A231" s="158">
        <v>44122</v>
      </c>
      <c r="B231" s="16">
        <v>10561</v>
      </c>
      <c r="C231" s="16">
        <f>C230+B231</f>
        <v>989680</v>
      </c>
      <c r="D231" s="4">
        <v>161</v>
      </c>
      <c r="E231" s="7">
        <f>E230+D231</f>
        <v>26265</v>
      </c>
      <c r="F231" s="206">
        <v>803965</v>
      </c>
      <c r="G231" s="169">
        <v>4387</v>
      </c>
      <c r="H231" s="4">
        <v>13890</v>
      </c>
      <c r="I231" s="16">
        <f t="shared" si="34"/>
        <v>2373496</v>
      </c>
      <c r="J231" s="211">
        <f t="shared" si="37"/>
        <v>0.76033117350611956</v>
      </c>
      <c r="K231" s="7">
        <v>1617</v>
      </c>
      <c r="L231" s="7">
        <v>1269203</v>
      </c>
      <c r="M231" s="4">
        <f>K231+L231</f>
        <v>1270820</v>
      </c>
      <c r="N231" s="9">
        <v>8370</v>
      </c>
      <c r="O231" s="9">
        <v>193297</v>
      </c>
      <c r="P231" s="9">
        <v>669231</v>
      </c>
      <c r="Q231" s="4">
        <f t="shared" si="27"/>
        <v>118782</v>
      </c>
      <c r="R231" s="1">
        <f t="shared" si="31"/>
        <v>1.1440453324238127</v>
      </c>
      <c r="S231" s="72">
        <f t="shared" si="36"/>
        <v>2.751332706177485E-2</v>
      </c>
      <c r="T231" s="62">
        <f t="shared" si="30"/>
        <v>3.6321169578998024E-2</v>
      </c>
      <c r="U231" s="146"/>
    </row>
    <row r="232" spans="1:21" x14ac:dyDescent="0.25">
      <c r="A232" s="158">
        <v>44123</v>
      </c>
      <c r="B232" s="16">
        <v>12982</v>
      </c>
      <c r="C232" s="16">
        <f>C231+B232</f>
        <v>1002662</v>
      </c>
      <c r="D232" s="4">
        <v>451</v>
      </c>
      <c r="E232" s="7">
        <f>E231+D232</f>
        <v>26716</v>
      </c>
      <c r="F232" s="206">
        <v>816247</v>
      </c>
      <c r="G232" s="169">
        <v>4392</v>
      </c>
      <c r="H232" s="4">
        <v>28395</v>
      </c>
      <c r="I232" s="16">
        <v>2626406</v>
      </c>
      <c r="J232" s="211">
        <f t="shared" si="37"/>
        <v>0.45719316781123437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1">
        <f t="shared" si="31"/>
        <v>1.1377100028894747</v>
      </c>
      <c r="S232" s="72">
        <f>G232/(C232-E232-F232)</f>
        <v>2.7501737643942668E-2</v>
      </c>
      <c r="T232" s="62">
        <f t="shared" si="30"/>
        <v>3.6268902497797337E-2</v>
      </c>
      <c r="U232" s="146"/>
    </row>
    <row r="233" spans="1:21" x14ac:dyDescent="0.25">
      <c r="A233" s="158">
        <v>44124</v>
      </c>
      <c r="B233" s="16">
        <v>16337</v>
      </c>
      <c r="C233" s="16">
        <f>C232+B233</f>
        <v>1018999</v>
      </c>
      <c r="D233" s="4">
        <v>384</v>
      </c>
      <c r="E233" s="7">
        <f>E232+D233</f>
        <v>27100</v>
      </c>
      <c r="F233" s="206">
        <v>829647</v>
      </c>
      <c r="G233" s="16">
        <v>4451</v>
      </c>
      <c r="H233" s="16">
        <v>37474</v>
      </c>
      <c r="I233" s="16">
        <v>2663880</v>
      </c>
      <c r="J233" s="211">
        <f>B233/H233</f>
        <v>0.43595559587980998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6">
        <f>C233-N233-O233-P233</f>
        <v>121503</v>
      </c>
      <c r="R233" s="1">
        <f>AVERAGE(B220:B233)/AVERAGE(B206:B219)</f>
        <v>1.1290642738574761</v>
      </c>
      <c r="S233" s="72">
        <f t="shared" si="36"/>
        <v>2.7432635653181471E-2</v>
      </c>
      <c r="T233" s="62">
        <f>E233/C213</f>
        <v>3.608517165756104E-2</v>
      </c>
      <c r="U233" s="146"/>
    </row>
    <row r="234" spans="1:21" x14ac:dyDescent="0.25">
      <c r="A234" s="158">
        <v>44125</v>
      </c>
      <c r="B234" s="209">
        <v>18326</v>
      </c>
      <c r="C234" s="16">
        <f>C233+B234</f>
        <v>1037325</v>
      </c>
      <c r="D234" s="48">
        <v>423</v>
      </c>
      <c r="E234" s="7">
        <f>E233+D234</f>
        <v>27523</v>
      </c>
      <c r="F234" s="210">
        <v>840520</v>
      </c>
      <c r="G234" s="209">
        <v>4573</v>
      </c>
      <c r="H234" s="209">
        <v>38340</v>
      </c>
      <c r="I234" s="209">
        <f>I233+H234</f>
        <v>2702220</v>
      </c>
      <c r="J234" s="211">
        <f>B234/H234</f>
        <v>0.47798643714136674</v>
      </c>
      <c r="K234" s="125"/>
      <c r="L234" s="125"/>
      <c r="M234" s="48"/>
      <c r="N234" s="48"/>
      <c r="O234" s="48"/>
      <c r="P234" s="48"/>
      <c r="Q234" s="48"/>
      <c r="R234" s="1">
        <f t="shared" ref="R234" si="38">AVERAGE(B221:B234)/AVERAGE(B207:B220)</f>
        <v>1.1152308705625837</v>
      </c>
      <c r="S234" s="72">
        <f t="shared" si="36"/>
        <v>2.7014094824021454E-2</v>
      </c>
      <c r="T234" s="62">
        <f>E234/C214</f>
        <v>3.5977683718473936E-2</v>
      </c>
    </row>
    <row r="235" spans="1:21" x14ac:dyDescent="0.25">
      <c r="A235" s="26"/>
      <c r="B235" s="16"/>
      <c r="C235" s="4"/>
      <c r="D235" s="4"/>
      <c r="E235" s="4"/>
      <c r="F235" s="29"/>
      <c r="G235" s="4"/>
      <c r="H235" s="4"/>
      <c r="I235" s="4"/>
      <c r="J235" s="4"/>
      <c r="K235" s="7"/>
      <c r="L235" s="7"/>
      <c r="M235" s="4"/>
      <c r="N235" s="4"/>
      <c r="O235" s="4"/>
      <c r="P235" s="4"/>
      <c r="Q235" s="4"/>
      <c r="R235" s="4"/>
      <c r="S235" s="1"/>
      <c r="T235" s="26"/>
      <c r="U235" s="16"/>
    </row>
    <row r="236" spans="1:21" x14ac:dyDescent="0.25">
      <c r="A236" s="26"/>
      <c r="B236" s="16"/>
      <c r="C236" s="4"/>
      <c r="D236" s="4"/>
      <c r="E236" s="4"/>
      <c r="F236" s="29"/>
      <c r="G236" s="4"/>
      <c r="H236" s="4"/>
      <c r="I236" s="4"/>
      <c r="J236" s="4"/>
      <c r="K236" s="7"/>
      <c r="L236" s="7"/>
      <c r="M236" s="4"/>
      <c r="N236" s="4"/>
      <c r="O236" s="4"/>
      <c r="P236" s="4"/>
      <c r="Q236" s="4"/>
      <c r="R236" s="4"/>
      <c r="S236" s="1"/>
      <c r="T236" s="26"/>
      <c r="U236" s="16"/>
    </row>
    <row r="237" spans="1:21" x14ac:dyDescent="0.25">
      <c r="T237" s="26"/>
      <c r="U237" s="16"/>
    </row>
    <row r="238" spans="1:21" x14ac:dyDescent="0.25">
      <c r="T238" s="26"/>
      <c r="U238" s="16"/>
    </row>
    <row r="239" spans="1:21" x14ac:dyDescent="0.25">
      <c r="T239" s="26"/>
      <c r="U239" s="16"/>
    </row>
    <row r="240" spans="1:21" x14ac:dyDescent="0.25">
      <c r="T240" s="26"/>
      <c r="U240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9BF6-52B9-48A0-AFC6-A122C6D6D85F}">
  <dimension ref="A1:M25"/>
  <sheetViews>
    <sheetView topLeftCell="A10" workbookViewId="0">
      <selection activeCell="L25" sqref="L25"/>
    </sheetView>
  </sheetViews>
  <sheetFormatPr baseColWidth="10" defaultRowHeight="15" x14ac:dyDescent="0.25"/>
  <cols>
    <col min="1" max="1" width="22.140625" bestFit="1" customWidth="1"/>
    <col min="2" max="3" width="11.42578125" hidden="1" customWidth="1"/>
    <col min="4" max="4" width="11.42578125" style="214" customWidth="1"/>
    <col min="5" max="10" width="11.42578125" hidden="1" customWidth="1"/>
    <col min="11" max="11" width="11.42578125" style="135"/>
    <col min="12" max="12" width="13.5703125" style="74" customWidth="1"/>
    <col min="13" max="13" width="11.42578125" style="25"/>
  </cols>
  <sheetData>
    <row r="1" spans="1:13" s="88" customFormat="1" x14ac:dyDescent="0.25">
      <c r="B1" s="88" t="s">
        <v>32</v>
      </c>
      <c r="C1" s="88" t="s">
        <v>33</v>
      </c>
      <c r="D1" s="212" t="s">
        <v>34</v>
      </c>
      <c r="E1" s="88" t="s">
        <v>152</v>
      </c>
      <c r="F1" s="88" t="s">
        <v>153</v>
      </c>
      <c r="H1" s="88" t="s">
        <v>34</v>
      </c>
      <c r="J1" s="88" t="s">
        <v>153</v>
      </c>
      <c r="K1" s="135" t="s">
        <v>154</v>
      </c>
      <c r="L1" s="74" t="s">
        <v>155</v>
      </c>
      <c r="M1" s="25" t="s">
        <v>156</v>
      </c>
    </row>
    <row r="2" spans="1:13" x14ac:dyDescent="0.25">
      <c r="A2" s="5" t="s">
        <v>22</v>
      </c>
      <c r="B2" s="5">
        <v>44125</v>
      </c>
      <c r="C2" s="5">
        <v>5179</v>
      </c>
      <c r="D2" s="213">
        <v>512617</v>
      </c>
      <c r="E2" s="5">
        <v>106</v>
      </c>
      <c r="F2" s="5">
        <v>16280</v>
      </c>
      <c r="G2" s="5">
        <v>5756</v>
      </c>
      <c r="H2" s="5">
        <v>486223</v>
      </c>
      <c r="I2" s="5">
        <v>193</v>
      </c>
      <c r="J2" s="5">
        <v>15485</v>
      </c>
      <c r="K2" s="218">
        <f>LN(2)/(LN(D2)-LN(H2))*7</f>
        <v>91.787407722167586</v>
      </c>
      <c r="L2" s="26">
        <f ca="1">TODAY()+K2</f>
        <v>44232.787407722164</v>
      </c>
      <c r="M2" s="219">
        <f>D2*2</f>
        <v>1025234</v>
      </c>
    </row>
    <row r="3" spans="1:13" x14ac:dyDescent="0.25">
      <c r="A3" s="5" t="s">
        <v>20</v>
      </c>
      <c r="B3" s="5">
        <v>44125</v>
      </c>
      <c r="C3" s="5">
        <v>740</v>
      </c>
      <c r="D3" s="213">
        <v>141930</v>
      </c>
      <c r="E3" s="5">
        <v>52</v>
      </c>
      <c r="F3" s="5">
        <v>4403</v>
      </c>
      <c r="G3" s="5">
        <v>830</v>
      </c>
      <c r="H3" s="5">
        <v>137891</v>
      </c>
      <c r="I3" s="5">
        <v>59</v>
      </c>
      <c r="J3" s="5">
        <v>4116</v>
      </c>
      <c r="K3" s="218">
        <f t="shared" ref="K3:K25" si="0">LN(2)/(LN(D3)-LN(H3))*7</f>
        <v>168.0621025463978</v>
      </c>
      <c r="L3" s="26">
        <f t="shared" ref="L3:L25" ca="1" si="1">TODAY()+K3</f>
        <v>44309.062102546399</v>
      </c>
      <c r="M3" s="219">
        <f t="shared" ref="M3:M25" si="2">D3*2</f>
        <v>283860</v>
      </c>
    </row>
    <row r="4" spans="1:13" x14ac:dyDescent="0.25">
      <c r="A4" s="5" t="s">
        <v>35</v>
      </c>
      <c r="B4" s="5">
        <v>44125</v>
      </c>
      <c r="C4" s="5">
        <v>25</v>
      </c>
      <c r="D4" s="213">
        <v>525</v>
      </c>
      <c r="E4" s="5"/>
      <c r="F4" s="5">
        <v>0</v>
      </c>
      <c r="G4" s="5">
        <v>6</v>
      </c>
      <c r="H4" s="5">
        <v>407</v>
      </c>
      <c r="I4" s="5"/>
      <c r="J4" s="5">
        <v>0</v>
      </c>
      <c r="K4" s="216">
        <f t="shared" si="0"/>
        <v>19.058580802359188</v>
      </c>
      <c r="L4" s="26">
        <f t="shared" ca="1" si="1"/>
        <v>44160.058580802361</v>
      </c>
      <c r="M4" s="219">
        <f t="shared" si="2"/>
        <v>1050</v>
      </c>
    </row>
    <row r="5" spans="1:13" x14ac:dyDescent="0.25">
      <c r="A5" s="5" t="s">
        <v>21</v>
      </c>
      <c r="B5" s="5">
        <v>44125</v>
      </c>
      <c r="C5" s="5">
        <v>255</v>
      </c>
      <c r="D5" s="213">
        <v>12296</v>
      </c>
      <c r="E5" s="5">
        <v>4</v>
      </c>
      <c r="F5" s="5">
        <v>376</v>
      </c>
      <c r="G5" s="5">
        <v>197</v>
      </c>
      <c r="H5" s="5">
        <v>11067</v>
      </c>
      <c r="I5" s="5">
        <v>5</v>
      </c>
      <c r="J5" s="5">
        <v>350</v>
      </c>
      <c r="K5" s="218">
        <f t="shared" si="0"/>
        <v>46.075403960929037</v>
      </c>
      <c r="L5" s="26">
        <f t="shared" ca="1" si="1"/>
        <v>44187.075403960931</v>
      </c>
      <c r="M5" s="219">
        <f t="shared" si="2"/>
        <v>24592</v>
      </c>
    </row>
    <row r="6" spans="1:13" x14ac:dyDescent="0.25">
      <c r="A6" s="5" t="s">
        <v>36</v>
      </c>
      <c r="B6" s="5">
        <v>44125</v>
      </c>
      <c r="C6" s="5">
        <v>531</v>
      </c>
      <c r="D6" s="213">
        <v>10258</v>
      </c>
      <c r="E6" s="5">
        <v>2</v>
      </c>
      <c r="F6" s="5">
        <v>132</v>
      </c>
      <c r="G6" s="5">
        <v>245</v>
      </c>
      <c r="H6" s="5">
        <v>8269</v>
      </c>
      <c r="I6" s="5">
        <v>9</v>
      </c>
      <c r="J6" s="5">
        <v>111</v>
      </c>
      <c r="K6" s="216">
        <f t="shared" si="0"/>
        <v>22.510593524139111</v>
      </c>
      <c r="L6" s="26">
        <f t="shared" ca="1" si="1"/>
        <v>44163.510593524137</v>
      </c>
      <c r="M6" s="219">
        <f t="shared" si="2"/>
        <v>20516</v>
      </c>
    </row>
    <row r="7" spans="1:13" x14ac:dyDescent="0.25">
      <c r="A7" s="5" t="s">
        <v>27</v>
      </c>
      <c r="B7" s="5">
        <v>44125</v>
      </c>
      <c r="C7" s="5">
        <v>2480</v>
      </c>
      <c r="D7" s="213">
        <v>68767</v>
      </c>
      <c r="E7" s="5">
        <v>55</v>
      </c>
      <c r="F7" s="5">
        <v>1001</v>
      </c>
      <c r="G7" s="5">
        <v>2082</v>
      </c>
      <c r="H7" s="5">
        <v>57783</v>
      </c>
      <c r="I7" s="5">
        <v>44</v>
      </c>
      <c r="J7" s="5">
        <v>762</v>
      </c>
      <c r="K7" s="216">
        <f t="shared" si="0"/>
        <v>27.880526332780242</v>
      </c>
      <c r="L7" s="26">
        <f t="shared" ca="1" si="1"/>
        <v>44168.880526332781</v>
      </c>
      <c r="M7" s="219">
        <f t="shared" si="2"/>
        <v>137534</v>
      </c>
    </row>
    <row r="8" spans="1:13" x14ac:dyDescent="0.25">
      <c r="A8" s="5" t="s">
        <v>37</v>
      </c>
      <c r="B8" s="5">
        <v>44125</v>
      </c>
      <c r="C8" s="5">
        <v>20</v>
      </c>
      <c r="D8" s="213">
        <v>2154</v>
      </c>
      <c r="E8" s="5"/>
      <c r="F8" s="5">
        <v>35</v>
      </c>
      <c r="G8" s="5">
        <v>72</v>
      </c>
      <c r="H8" s="5">
        <v>1874</v>
      </c>
      <c r="I8" s="5"/>
      <c r="J8" s="5">
        <v>32</v>
      </c>
      <c r="K8" s="218">
        <f t="shared" si="0"/>
        <v>34.843674397502184</v>
      </c>
      <c r="L8" s="26">
        <f t="shared" ca="1" si="1"/>
        <v>44175.843674397503</v>
      </c>
      <c r="M8" s="219">
        <f t="shared" si="2"/>
        <v>4308</v>
      </c>
    </row>
    <row r="9" spans="1:13" x14ac:dyDescent="0.25">
      <c r="A9" s="5" t="s">
        <v>38</v>
      </c>
      <c r="B9" s="5">
        <v>44125</v>
      </c>
      <c r="C9" s="5">
        <v>467</v>
      </c>
      <c r="D9" s="213">
        <v>12561</v>
      </c>
      <c r="E9" s="5">
        <v>3</v>
      </c>
      <c r="F9" s="5">
        <v>220</v>
      </c>
      <c r="G9" s="5">
        <v>334</v>
      </c>
      <c r="H9" s="5">
        <v>10456</v>
      </c>
      <c r="I9" s="5">
        <v>7</v>
      </c>
      <c r="J9" s="5">
        <v>203</v>
      </c>
      <c r="K9" s="216">
        <f t="shared" si="0"/>
        <v>26.45299922492967</v>
      </c>
      <c r="L9" s="26">
        <f t="shared" ca="1" si="1"/>
        <v>44167.45299922493</v>
      </c>
      <c r="M9" s="219">
        <f t="shared" si="2"/>
        <v>25122</v>
      </c>
    </row>
    <row r="10" spans="1:13" x14ac:dyDescent="0.25">
      <c r="A10" s="5" t="s">
        <v>48</v>
      </c>
      <c r="B10" s="5">
        <v>44125</v>
      </c>
      <c r="C10" s="5">
        <v>7</v>
      </c>
      <c r="D10" s="213">
        <v>147</v>
      </c>
      <c r="E10" s="5"/>
      <c r="F10" s="5">
        <v>1</v>
      </c>
      <c r="G10" s="5">
        <v>-2</v>
      </c>
      <c r="H10" s="5">
        <v>138</v>
      </c>
      <c r="I10" s="5"/>
      <c r="J10" s="5">
        <v>1</v>
      </c>
      <c r="K10" s="218">
        <f t="shared" si="0"/>
        <v>76.79826871611958</v>
      </c>
      <c r="L10" s="26">
        <f t="shared" ca="1" si="1"/>
        <v>44217.79826871612</v>
      </c>
      <c r="M10" s="219">
        <f t="shared" si="2"/>
        <v>294</v>
      </c>
    </row>
    <row r="11" spans="1:13" x14ac:dyDescent="0.25">
      <c r="A11" s="5" t="s">
        <v>39</v>
      </c>
      <c r="B11" s="5">
        <v>44125</v>
      </c>
      <c r="C11" s="5">
        <v>68</v>
      </c>
      <c r="D11" s="213">
        <v>17412</v>
      </c>
      <c r="E11" s="5">
        <v>3</v>
      </c>
      <c r="F11" s="5">
        <v>712</v>
      </c>
      <c r="G11" s="5">
        <v>120</v>
      </c>
      <c r="H11" s="5">
        <v>17065</v>
      </c>
      <c r="I11" s="5">
        <v>13</v>
      </c>
      <c r="J11" s="5">
        <v>643</v>
      </c>
      <c r="K11" s="218">
        <f t="shared" si="0"/>
        <v>241.03429218278492</v>
      </c>
      <c r="L11" s="26">
        <f t="shared" ca="1" si="1"/>
        <v>44382.034292182783</v>
      </c>
      <c r="M11" s="219">
        <f t="shared" si="2"/>
        <v>34824</v>
      </c>
    </row>
    <row r="12" spans="1:13" x14ac:dyDescent="0.25">
      <c r="A12" s="5" t="s">
        <v>40</v>
      </c>
      <c r="B12" s="5">
        <v>44125</v>
      </c>
      <c r="C12" s="5">
        <v>161</v>
      </c>
      <c r="D12" s="213">
        <v>1969</v>
      </c>
      <c r="E12" s="5">
        <v>2</v>
      </c>
      <c r="F12" s="5">
        <v>21</v>
      </c>
      <c r="G12" s="5">
        <v>82</v>
      </c>
      <c r="H12" s="5">
        <v>1354</v>
      </c>
      <c r="I12" s="5"/>
      <c r="J12" s="5">
        <v>16</v>
      </c>
      <c r="K12" s="217">
        <f t="shared" si="0"/>
        <v>12.957315197363085</v>
      </c>
      <c r="L12" s="26">
        <f t="shared" ca="1" si="1"/>
        <v>44153.95731519736</v>
      </c>
      <c r="M12" s="219">
        <f t="shared" si="2"/>
        <v>3938</v>
      </c>
    </row>
    <row r="13" spans="1:13" x14ac:dyDescent="0.25">
      <c r="A13" s="5" t="s">
        <v>28</v>
      </c>
      <c r="B13" s="5">
        <v>44125</v>
      </c>
      <c r="C13" s="5">
        <v>134</v>
      </c>
      <c r="D13" s="213">
        <v>6799</v>
      </c>
      <c r="E13" s="5">
        <v>6</v>
      </c>
      <c r="F13" s="5">
        <v>213</v>
      </c>
      <c r="G13" s="5">
        <v>107</v>
      </c>
      <c r="H13" s="5">
        <v>6225</v>
      </c>
      <c r="I13" s="5">
        <v>5</v>
      </c>
      <c r="J13" s="5">
        <v>191</v>
      </c>
      <c r="K13" s="218">
        <f t="shared" si="0"/>
        <v>55.01037110536199</v>
      </c>
      <c r="L13" s="26">
        <f t="shared" ca="1" si="1"/>
        <v>44196.01037110536</v>
      </c>
      <c r="M13" s="219">
        <f t="shared" si="2"/>
        <v>13598</v>
      </c>
    </row>
    <row r="14" spans="1:13" x14ac:dyDescent="0.25">
      <c r="A14" s="5" t="s">
        <v>24</v>
      </c>
      <c r="B14" s="5">
        <v>44125</v>
      </c>
      <c r="C14" s="5">
        <v>1155</v>
      </c>
      <c r="D14" s="213">
        <v>39969</v>
      </c>
      <c r="E14" s="5">
        <v>21</v>
      </c>
      <c r="F14" s="5">
        <v>613</v>
      </c>
      <c r="G14" s="5">
        <v>1056</v>
      </c>
      <c r="H14" s="5">
        <v>35033</v>
      </c>
      <c r="I14" s="5">
        <v>15</v>
      </c>
      <c r="J14" s="5">
        <v>468</v>
      </c>
      <c r="K14" s="218">
        <f t="shared" si="0"/>
        <v>36.809762783840547</v>
      </c>
      <c r="L14" s="26">
        <f t="shared" ca="1" si="1"/>
        <v>44177.809762783843</v>
      </c>
      <c r="M14" s="219">
        <f t="shared" si="2"/>
        <v>79938</v>
      </c>
    </row>
    <row r="15" spans="1:13" x14ac:dyDescent="0.25">
      <c r="A15" s="215" t="s">
        <v>30</v>
      </c>
      <c r="B15" s="5">
        <v>44125</v>
      </c>
      <c r="C15" s="5">
        <v>3</v>
      </c>
      <c r="D15" s="213">
        <v>198</v>
      </c>
      <c r="E15" s="5"/>
      <c r="F15" s="5">
        <v>4</v>
      </c>
      <c r="G15" s="5">
        <v>12</v>
      </c>
      <c r="H15" s="5">
        <v>197</v>
      </c>
      <c r="I15" s="5"/>
      <c r="J15" s="5">
        <v>4</v>
      </c>
      <c r="K15" s="218">
        <f t="shared" si="0"/>
        <v>958.27392985047823</v>
      </c>
      <c r="L15" s="26">
        <f t="shared" ca="1" si="1"/>
        <v>45099.273929850475</v>
      </c>
      <c r="M15" s="219">
        <f t="shared" si="2"/>
        <v>396</v>
      </c>
    </row>
    <row r="16" spans="1:13" x14ac:dyDescent="0.25">
      <c r="A16" s="5" t="s">
        <v>26</v>
      </c>
      <c r="B16" s="5">
        <v>44125</v>
      </c>
      <c r="C16" s="5">
        <v>976</v>
      </c>
      <c r="D16" s="213">
        <v>17635</v>
      </c>
      <c r="E16" s="5">
        <v>28</v>
      </c>
      <c r="F16" s="5">
        <v>281</v>
      </c>
      <c r="G16" s="5">
        <v>424</v>
      </c>
      <c r="H16" s="5">
        <v>13408</v>
      </c>
      <c r="I16" s="5"/>
      <c r="J16" s="5">
        <v>205</v>
      </c>
      <c r="K16" s="216">
        <f t="shared" si="0"/>
        <v>17.705941272675613</v>
      </c>
      <c r="L16" s="26">
        <f t="shared" ca="1" si="1"/>
        <v>44158.705941272674</v>
      </c>
      <c r="M16" s="219">
        <f t="shared" si="2"/>
        <v>35270</v>
      </c>
    </row>
    <row r="17" spans="1:13" x14ac:dyDescent="0.25">
      <c r="A17" s="5" t="s">
        <v>25</v>
      </c>
      <c r="B17" s="5">
        <v>44125</v>
      </c>
      <c r="C17" s="5">
        <v>536</v>
      </c>
      <c r="D17" s="213">
        <v>20347</v>
      </c>
      <c r="E17" s="5">
        <v>12</v>
      </c>
      <c r="F17" s="5">
        <v>433</v>
      </c>
      <c r="G17" s="5">
        <v>532</v>
      </c>
      <c r="H17" s="5">
        <v>18025</v>
      </c>
      <c r="I17" s="5">
        <v>11</v>
      </c>
      <c r="J17" s="5">
        <v>399</v>
      </c>
      <c r="K17" s="218">
        <f t="shared" si="0"/>
        <v>40.041909685970026</v>
      </c>
      <c r="L17" s="26">
        <f t="shared" ca="1" si="1"/>
        <v>44181.04190968597</v>
      </c>
      <c r="M17" s="219">
        <f t="shared" si="2"/>
        <v>40694</v>
      </c>
    </row>
    <row r="18" spans="1:13" x14ac:dyDescent="0.25">
      <c r="A18" s="5" t="s">
        <v>41</v>
      </c>
      <c r="B18" s="5">
        <v>44125</v>
      </c>
      <c r="C18" s="5">
        <v>254</v>
      </c>
      <c r="D18" s="213">
        <v>16919</v>
      </c>
      <c r="E18" s="5">
        <v>13</v>
      </c>
      <c r="F18" s="5">
        <v>642</v>
      </c>
      <c r="G18" s="5">
        <v>257</v>
      </c>
      <c r="H18" s="5">
        <v>16011</v>
      </c>
      <c r="I18" s="5">
        <v>12</v>
      </c>
      <c r="J18" s="5">
        <v>570</v>
      </c>
      <c r="K18" s="218">
        <f t="shared" si="0"/>
        <v>87.960823329865264</v>
      </c>
      <c r="L18" s="26">
        <f t="shared" ca="1" si="1"/>
        <v>44228.960823329864</v>
      </c>
      <c r="M18" s="219">
        <f t="shared" si="2"/>
        <v>33838</v>
      </c>
    </row>
    <row r="19" spans="1:13" x14ac:dyDescent="0.25">
      <c r="A19" s="5" t="s">
        <v>42</v>
      </c>
      <c r="B19" s="5">
        <v>44125</v>
      </c>
      <c r="C19" s="5">
        <v>8</v>
      </c>
      <c r="D19" s="213">
        <v>1315</v>
      </c>
      <c r="E19" s="5"/>
      <c r="F19" s="5">
        <v>54</v>
      </c>
      <c r="G19" s="5">
        <v>3</v>
      </c>
      <c r="H19" s="5">
        <v>1276</v>
      </c>
      <c r="I19" s="5"/>
      <c r="J19" s="5">
        <v>51</v>
      </c>
      <c r="K19" s="218">
        <f t="shared" si="0"/>
        <v>161.16231953907914</v>
      </c>
      <c r="L19" s="26">
        <f t="shared" ca="1" si="1"/>
        <v>44302.162319539078</v>
      </c>
      <c r="M19" s="219">
        <f t="shared" si="2"/>
        <v>2630</v>
      </c>
    </row>
    <row r="20" spans="1:13" x14ac:dyDescent="0.25">
      <c r="A20" s="5" t="s">
        <v>43</v>
      </c>
      <c r="B20" s="5">
        <v>44125</v>
      </c>
      <c r="C20" s="5">
        <v>507</v>
      </c>
      <c r="D20" s="213">
        <v>4387</v>
      </c>
      <c r="E20" s="5"/>
      <c r="F20" s="5">
        <v>36</v>
      </c>
      <c r="G20" s="5">
        <v>119</v>
      </c>
      <c r="H20" s="5">
        <v>2686</v>
      </c>
      <c r="I20" s="5"/>
      <c r="J20" s="5">
        <v>34</v>
      </c>
      <c r="K20" s="217">
        <f t="shared" si="0"/>
        <v>9.8901430937794554</v>
      </c>
      <c r="L20" s="26">
        <f t="shared" ca="1" si="1"/>
        <v>44150.890143093777</v>
      </c>
      <c r="M20" s="219">
        <f t="shared" si="2"/>
        <v>8774</v>
      </c>
    </row>
    <row r="21" spans="1:13" x14ac:dyDescent="0.25">
      <c r="A21" s="5" t="s">
        <v>44</v>
      </c>
      <c r="B21" s="5">
        <v>44125</v>
      </c>
      <c r="C21" s="5">
        <v>197</v>
      </c>
      <c r="D21" s="213">
        <v>7760</v>
      </c>
      <c r="E21" s="5">
        <v>1</v>
      </c>
      <c r="F21" s="5">
        <v>105</v>
      </c>
      <c r="G21" s="5">
        <v>123</v>
      </c>
      <c r="H21" s="5">
        <v>6832</v>
      </c>
      <c r="I21" s="5">
        <v>3</v>
      </c>
      <c r="J21" s="5">
        <v>95</v>
      </c>
      <c r="K21" s="218">
        <f t="shared" si="0"/>
        <v>38.095512288802261</v>
      </c>
      <c r="L21" s="26">
        <f t="shared" ca="1" si="1"/>
        <v>44179.095512288804</v>
      </c>
      <c r="M21" s="219">
        <f t="shared" si="2"/>
        <v>15520</v>
      </c>
    </row>
    <row r="22" spans="1:13" x14ac:dyDescent="0.25">
      <c r="A22" s="5" t="s">
        <v>29</v>
      </c>
      <c r="B22" s="5">
        <v>44125</v>
      </c>
      <c r="C22" s="5">
        <v>2673</v>
      </c>
      <c r="D22" s="213">
        <v>86121</v>
      </c>
      <c r="E22" s="5">
        <v>52</v>
      </c>
      <c r="F22" s="5">
        <v>989</v>
      </c>
      <c r="G22" s="5">
        <v>2659</v>
      </c>
      <c r="H22" s="5">
        <v>72028</v>
      </c>
      <c r="I22" s="5">
        <v>44</v>
      </c>
      <c r="J22" s="5">
        <v>792</v>
      </c>
      <c r="K22" s="216">
        <f t="shared" si="0"/>
        <v>27.152070594594573</v>
      </c>
      <c r="L22" s="26">
        <f t="shared" ca="1" si="1"/>
        <v>44168.152070594595</v>
      </c>
      <c r="M22" s="219">
        <f t="shared" si="2"/>
        <v>172242</v>
      </c>
    </row>
    <row r="23" spans="1:13" x14ac:dyDescent="0.25">
      <c r="A23" s="5" t="s">
        <v>45</v>
      </c>
      <c r="B23" s="5">
        <v>44125</v>
      </c>
      <c r="C23" s="5">
        <v>185</v>
      </c>
      <c r="D23" s="213">
        <v>7249</v>
      </c>
      <c r="E23" s="5">
        <v>1</v>
      </c>
      <c r="F23" s="5">
        <v>102</v>
      </c>
      <c r="G23" s="5">
        <v>275</v>
      </c>
      <c r="H23" s="5">
        <v>5973</v>
      </c>
      <c r="I23" s="5">
        <v>-1</v>
      </c>
      <c r="J23" s="5">
        <v>91</v>
      </c>
      <c r="K23" s="216">
        <f t="shared" si="0"/>
        <v>25.060299806661174</v>
      </c>
      <c r="L23" s="26">
        <f t="shared" ca="1" si="1"/>
        <v>44166.060299806661</v>
      </c>
      <c r="M23" s="219">
        <f t="shared" si="2"/>
        <v>14498</v>
      </c>
    </row>
    <row r="24" spans="1:13" x14ac:dyDescent="0.25">
      <c r="A24" s="5" t="s">
        <v>46</v>
      </c>
      <c r="B24" s="5">
        <v>44125</v>
      </c>
      <c r="C24" s="5">
        <v>205</v>
      </c>
      <c r="D24" s="213">
        <v>8886</v>
      </c>
      <c r="E24" s="5">
        <v>4</v>
      </c>
      <c r="F24" s="5">
        <v>107</v>
      </c>
      <c r="G24" s="5">
        <v>313</v>
      </c>
      <c r="H24" s="5">
        <v>7502</v>
      </c>
      <c r="I24" s="5"/>
      <c r="J24" s="5">
        <v>91</v>
      </c>
      <c r="K24" s="216">
        <f t="shared" si="0"/>
        <v>28.658118989687871</v>
      </c>
      <c r="L24" s="26">
        <f t="shared" ca="1" si="1"/>
        <v>44169.65811898969</v>
      </c>
      <c r="M24" s="219">
        <f t="shared" si="2"/>
        <v>17772</v>
      </c>
    </row>
    <row r="25" spans="1:13" x14ac:dyDescent="0.25">
      <c r="A25" s="5" t="s">
        <v>47</v>
      </c>
      <c r="B25" s="5">
        <v>44125</v>
      </c>
      <c r="C25" s="5">
        <v>1560</v>
      </c>
      <c r="D25" s="213">
        <v>39104</v>
      </c>
      <c r="E25" s="5">
        <v>58</v>
      </c>
      <c r="F25" s="5">
        <v>544</v>
      </c>
      <c r="G25" s="5">
        <v>1494</v>
      </c>
      <c r="H25" s="5">
        <v>31528</v>
      </c>
      <c r="I25" s="5">
        <v>2</v>
      </c>
      <c r="J25" s="5">
        <v>416</v>
      </c>
      <c r="K25" s="216">
        <f t="shared" si="0"/>
        <v>22.531037944114569</v>
      </c>
      <c r="L25" s="26">
        <f t="shared" ca="1" si="1"/>
        <v>44163.531037944114</v>
      </c>
      <c r="M25" s="219">
        <f t="shared" si="2"/>
        <v>78208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12" x14ac:dyDescent="0.25">
      <c r="A162" s="69" t="s">
        <v>32</v>
      </c>
      <c r="B162" s="69" t="s">
        <v>134</v>
      </c>
      <c r="C162" s="69" t="s">
        <v>135</v>
      </c>
      <c r="D162" s="69"/>
      <c r="E162" s="69" t="s">
        <v>136</v>
      </c>
      <c r="F162" s="70" t="s">
        <v>129</v>
      </c>
      <c r="H162" s="159" t="s">
        <v>32</v>
      </c>
      <c r="I162" s="159" t="s">
        <v>31</v>
      </c>
      <c r="J162" s="159" t="s">
        <v>151</v>
      </c>
      <c r="K162" s="159" t="s">
        <v>149</v>
      </c>
      <c r="L162" s="159" t="s">
        <v>150</v>
      </c>
    </row>
    <row r="163" spans="1:12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12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12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12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12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12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12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12" hidden="1" x14ac:dyDescent="0.25">
      <c r="A171" s="26">
        <v>44076</v>
      </c>
      <c r="B171" s="48">
        <v>2359</v>
      </c>
      <c r="C171" s="126">
        <v>61.1</v>
      </c>
      <c r="E171" s="124">
        <f t="shared" si="0"/>
        <v>3860.8837970540098</v>
      </c>
      <c r="F171" s="125" t="e">
        <f t="shared" si="1"/>
        <v>#DIV/0!</v>
      </c>
    </row>
    <row r="172" spans="1:12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12" hidden="1" x14ac:dyDescent="0.25">
      <c r="A173" s="26">
        <v>44078</v>
      </c>
      <c r="B173" s="47">
        <v>2425</v>
      </c>
      <c r="C173" s="123">
        <v>61.5</v>
      </c>
      <c r="E173" s="63">
        <f t="shared" si="0"/>
        <v>3943.0894308943089</v>
      </c>
      <c r="F173" s="66" t="e">
        <f t="shared" si="1"/>
        <v>#DIV/0!</v>
      </c>
    </row>
    <row r="174" spans="1:12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  <c r="I174" t="s">
        <v>22</v>
      </c>
      <c r="J174" s="195">
        <v>0.43</v>
      </c>
    </row>
    <row r="175" spans="1:12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  <c r="I175" t="s">
        <v>20</v>
      </c>
      <c r="J175" s="195">
        <v>0.3</v>
      </c>
      <c r="K175">
        <v>450</v>
      </c>
      <c r="L175">
        <f>J175/K175</f>
        <v>6.6666666666666664E-4</v>
      </c>
    </row>
    <row r="176" spans="1:12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  <c r="I176" t="s">
        <v>35</v>
      </c>
      <c r="J176" s="195">
        <v>0.15</v>
      </c>
    </row>
    <row r="177" spans="1:12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  <c r="I177" t="s">
        <v>21</v>
      </c>
      <c r="J177" s="195">
        <v>0.39</v>
      </c>
    </row>
    <row r="178" spans="1:12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  <c r="I178" t="s">
        <v>36</v>
      </c>
      <c r="J178" s="195">
        <v>0.42</v>
      </c>
      <c r="K178">
        <f>139+39+8</f>
        <v>186</v>
      </c>
      <c r="L178" s="160">
        <f>J178/K178</f>
        <v>2.258064516129032E-3</v>
      </c>
    </row>
    <row r="179" spans="1:12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dimension ref="A1:S40"/>
  <sheetViews>
    <sheetView topLeftCell="A16" zoomScaleNormal="100" workbookViewId="0">
      <selection activeCell="K1" sqref="K1:K6"/>
    </sheetView>
  </sheetViews>
  <sheetFormatPr baseColWidth="10" defaultRowHeight="15.75" x14ac:dyDescent="0.25"/>
  <cols>
    <col min="1" max="2" width="11.42578125" style="115"/>
    <col min="3" max="3" width="19" style="99" customWidth="1"/>
    <col min="4" max="5" width="11.42578125" style="100"/>
    <col min="6" max="6" width="18.140625" style="100" customWidth="1"/>
    <col min="7" max="7" width="12.85546875" style="100" customWidth="1"/>
    <col min="8" max="8" width="17.7109375" style="100" customWidth="1"/>
    <col min="9" max="12" width="11.42578125" style="115"/>
    <col min="13" max="13" width="22.28515625" style="115" customWidth="1"/>
    <col min="14" max="14" width="14.5703125" style="115" customWidth="1"/>
    <col min="15" max="15" width="13.7109375" style="115" customWidth="1"/>
    <col min="16" max="16" width="15" style="115" customWidth="1"/>
    <col min="17" max="17" width="13.7109375" style="115" customWidth="1"/>
    <col min="18" max="18" width="15.140625" style="99" customWidth="1"/>
    <col min="19" max="19" width="11.42578125" style="115"/>
    <col min="20" max="16384" width="11.42578125" style="99"/>
  </cols>
  <sheetData>
    <row r="1" spans="1:19" s="115" customFormat="1" ht="52.5" customHeight="1" thickBot="1" x14ac:dyDescent="0.3">
      <c r="C1" s="223" t="s">
        <v>146</v>
      </c>
      <c r="D1" s="223"/>
      <c r="E1" s="223"/>
      <c r="F1" s="223"/>
      <c r="G1" s="223"/>
      <c r="H1" s="223"/>
      <c r="K1" s="157">
        <v>547</v>
      </c>
      <c r="M1" s="224" t="s">
        <v>147</v>
      </c>
      <c r="N1" s="224"/>
      <c r="O1" s="224"/>
      <c r="P1" s="224"/>
      <c r="Q1" s="224"/>
      <c r="R1" s="224"/>
      <c r="S1" s="224"/>
    </row>
    <row r="2" spans="1:19" ht="58.5" customHeight="1" x14ac:dyDescent="0.25">
      <c r="C2" s="103" t="s">
        <v>31</v>
      </c>
      <c r="D2" s="104">
        <v>44043</v>
      </c>
      <c r="E2" s="104">
        <v>44074</v>
      </c>
      <c r="F2" s="105" t="s">
        <v>145</v>
      </c>
      <c r="G2" s="106" t="s">
        <v>143</v>
      </c>
      <c r="H2" s="107" t="s">
        <v>144</v>
      </c>
      <c r="K2" s="157">
        <v>1398</v>
      </c>
      <c r="M2" s="103" t="s">
        <v>31</v>
      </c>
      <c r="N2" s="104">
        <v>44043</v>
      </c>
      <c r="O2" s="104">
        <v>44074</v>
      </c>
      <c r="P2" s="105" t="s">
        <v>145</v>
      </c>
      <c r="Q2" s="106" t="s">
        <v>143</v>
      </c>
      <c r="R2" s="107" t="s">
        <v>148</v>
      </c>
    </row>
    <row r="3" spans="1:19" s="100" customFormat="1" ht="27.95" customHeight="1" x14ac:dyDescent="0.25">
      <c r="A3" s="116"/>
      <c r="B3" s="116"/>
      <c r="C3" s="108" t="s">
        <v>22</v>
      </c>
      <c r="D3" s="101">
        <v>49911</v>
      </c>
      <c r="E3" s="101">
        <v>156669</v>
      </c>
      <c r="F3" s="102">
        <f>(E3-D3)/D3</f>
        <v>2.1389673619041893</v>
      </c>
      <c r="G3" s="101">
        <v>316506</v>
      </c>
      <c r="H3" s="109">
        <f>(G3-E3)/E3</f>
        <v>1.0202209754322809</v>
      </c>
      <c r="I3" s="116"/>
      <c r="J3" s="116"/>
      <c r="K3" s="157">
        <v>1365</v>
      </c>
      <c r="L3" s="116"/>
      <c r="M3" s="108" t="s">
        <v>22</v>
      </c>
      <c r="N3" s="117">
        <v>114573</v>
      </c>
      <c r="O3" s="117">
        <v>258793</v>
      </c>
      <c r="P3" s="118">
        <f>(O3-N3)/N3</f>
        <v>1.2587607900639768</v>
      </c>
      <c r="Q3" s="117">
        <v>316506</v>
      </c>
      <c r="R3" s="119">
        <f>(Q3-O3)/O3</f>
        <v>0.22300835030313804</v>
      </c>
      <c r="S3" s="116"/>
    </row>
    <row r="4" spans="1:19" s="100" customFormat="1" ht="27.95" customHeight="1" x14ac:dyDescent="0.25">
      <c r="A4" s="116"/>
      <c r="B4" s="116"/>
      <c r="C4" s="110" t="s">
        <v>51</v>
      </c>
      <c r="D4" s="101">
        <v>36520</v>
      </c>
      <c r="E4" s="101">
        <v>71086</v>
      </c>
      <c r="F4" s="102">
        <f t="shared" ref="F4:F26" si="0">(E4-D4)/D4</f>
        <v>0.94649507119386633</v>
      </c>
      <c r="G4" s="101">
        <v>107857</v>
      </c>
      <c r="H4" s="109">
        <f t="shared" ref="H4:H26" si="1">(G4-E4)/E4</f>
        <v>0.51727485018147035</v>
      </c>
      <c r="I4" s="116"/>
      <c r="J4" s="116"/>
      <c r="K4" s="157">
        <v>1195</v>
      </c>
      <c r="L4" s="116"/>
      <c r="M4" s="110" t="s">
        <v>51</v>
      </c>
      <c r="N4" s="117">
        <v>59708</v>
      </c>
      <c r="O4" s="117">
        <v>95604</v>
      </c>
      <c r="P4" s="118">
        <f t="shared" ref="P4:P26" si="2">(O4-N4)/N4</f>
        <v>0.6011924700207677</v>
      </c>
      <c r="Q4" s="117">
        <v>107857</v>
      </c>
      <c r="R4" s="119">
        <f t="shared" ref="R4:R26" si="3">(Q4-O4)/O4</f>
        <v>0.12816409355257102</v>
      </c>
      <c r="S4" s="116"/>
    </row>
    <row r="5" spans="1:19" s="100" customFormat="1" ht="27.95" customHeight="1" x14ac:dyDescent="0.25">
      <c r="A5" s="116"/>
      <c r="B5" s="116"/>
      <c r="C5" s="110" t="s">
        <v>35</v>
      </c>
      <c r="D5" s="101">
        <v>38</v>
      </c>
      <c r="E5" s="101">
        <v>62</v>
      </c>
      <c r="F5" s="102">
        <f t="shared" si="0"/>
        <v>0.63157894736842102</v>
      </c>
      <c r="G5" s="101">
        <v>111</v>
      </c>
      <c r="H5" s="109">
        <f t="shared" si="1"/>
        <v>0.79032258064516125</v>
      </c>
      <c r="I5" s="116"/>
      <c r="J5" s="116"/>
      <c r="K5" s="157">
        <v>1478</v>
      </c>
      <c r="L5" s="116"/>
      <c r="M5" s="110" t="s">
        <v>35</v>
      </c>
      <c r="N5" s="117">
        <v>61</v>
      </c>
      <c r="O5" s="117">
        <v>66</v>
      </c>
      <c r="P5" s="118">
        <f t="shared" si="2"/>
        <v>8.1967213114754092E-2</v>
      </c>
      <c r="Q5" s="117">
        <v>111</v>
      </c>
      <c r="R5" s="119">
        <f t="shared" si="3"/>
        <v>0.68181818181818177</v>
      </c>
      <c r="S5" s="116"/>
    </row>
    <row r="6" spans="1:19" s="100" customFormat="1" ht="27.95" customHeight="1" x14ac:dyDescent="0.25">
      <c r="A6" s="116"/>
      <c r="B6" s="116"/>
      <c r="C6" s="110" t="s">
        <v>21</v>
      </c>
      <c r="D6" s="101">
        <v>2496</v>
      </c>
      <c r="E6" s="101">
        <v>4085</v>
      </c>
      <c r="F6" s="102">
        <f t="shared" si="0"/>
        <v>0.63661858974358976</v>
      </c>
      <c r="G6" s="101">
        <v>6418</v>
      </c>
      <c r="H6" s="109">
        <f t="shared" si="1"/>
        <v>0.57111383108935132</v>
      </c>
      <c r="I6" s="116"/>
      <c r="J6" s="116"/>
      <c r="K6" s="157">
        <v>1359</v>
      </c>
      <c r="L6" s="116"/>
      <c r="M6" s="110" t="s">
        <v>21</v>
      </c>
      <c r="N6" s="117">
        <v>3579</v>
      </c>
      <c r="O6" s="117">
        <v>5417</v>
      </c>
      <c r="P6" s="118">
        <f t="shared" si="2"/>
        <v>0.5135512713048338</v>
      </c>
      <c r="Q6" s="117">
        <v>6418</v>
      </c>
      <c r="R6" s="119">
        <f t="shared" si="3"/>
        <v>0.18478862839209895</v>
      </c>
      <c r="S6" s="116"/>
    </row>
    <row r="7" spans="1:19" s="100" customFormat="1" ht="27.95" customHeight="1" x14ac:dyDescent="0.25">
      <c r="A7" s="116"/>
      <c r="B7" s="116"/>
      <c r="C7" s="110" t="s">
        <v>36</v>
      </c>
      <c r="D7" s="101">
        <v>196</v>
      </c>
      <c r="E7" s="101">
        <v>351</v>
      </c>
      <c r="F7" s="102">
        <f t="shared" si="0"/>
        <v>0.79081632653061229</v>
      </c>
      <c r="G7" s="101">
        <v>1390</v>
      </c>
      <c r="H7" s="109">
        <f t="shared" si="1"/>
        <v>2.9601139601139601</v>
      </c>
      <c r="I7" s="116"/>
      <c r="J7" s="116"/>
      <c r="K7" s="116"/>
      <c r="L7" s="116"/>
      <c r="M7" s="110" t="s">
        <v>36</v>
      </c>
      <c r="N7" s="117">
        <v>275</v>
      </c>
      <c r="O7" s="117">
        <v>899</v>
      </c>
      <c r="P7" s="118">
        <f t="shared" si="2"/>
        <v>2.269090909090909</v>
      </c>
      <c r="Q7" s="117">
        <v>1390</v>
      </c>
      <c r="R7" s="119">
        <f t="shared" si="3"/>
        <v>0.5461624026696329</v>
      </c>
      <c r="S7" s="116"/>
    </row>
    <row r="8" spans="1:19" s="100" customFormat="1" ht="27.95" customHeight="1" x14ac:dyDescent="0.25">
      <c r="A8" s="116"/>
      <c r="B8" s="116"/>
      <c r="C8" s="110" t="s">
        <v>27</v>
      </c>
      <c r="D8" s="101">
        <v>855</v>
      </c>
      <c r="E8" s="101">
        <v>3685</v>
      </c>
      <c r="F8" s="102">
        <f t="shared" si="0"/>
        <v>3.3099415204678362</v>
      </c>
      <c r="G8" s="101">
        <v>13009</v>
      </c>
      <c r="H8" s="109">
        <f t="shared" si="1"/>
        <v>2.5302578018995932</v>
      </c>
      <c r="I8" s="116"/>
      <c r="J8" s="116"/>
      <c r="K8" s="116"/>
      <c r="L8" s="116"/>
      <c r="M8" s="110" t="s">
        <v>27</v>
      </c>
      <c r="N8" s="117">
        <v>2256</v>
      </c>
      <c r="O8" s="117">
        <v>8522</v>
      </c>
      <c r="P8" s="118">
        <f t="shared" si="2"/>
        <v>2.7774822695035462</v>
      </c>
      <c r="Q8" s="117">
        <v>13009</v>
      </c>
      <c r="R8" s="119">
        <f t="shared" si="3"/>
        <v>0.52651959633888756</v>
      </c>
      <c r="S8" s="116"/>
    </row>
    <row r="9" spans="1:19" s="100" customFormat="1" ht="27.95" customHeight="1" x14ac:dyDescent="0.25">
      <c r="A9" s="116"/>
      <c r="B9" s="116"/>
      <c r="C9" s="110" t="s">
        <v>37</v>
      </c>
      <c r="D9" s="101">
        <v>126</v>
      </c>
      <c r="E9" s="101">
        <v>216</v>
      </c>
      <c r="F9" s="102">
        <f t="shared" si="0"/>
        <v>0.7142857142857143</v>
      </c>
      <c r="G9" s="101">
        <v>491</v>
      </c>
      <c r="H9" s="109">
        <f t="shared" si="1"/>
        <v>1.2731481481481481</v>
      </c>
      <c r="I9" s="116"/>
      <c r="J9" s="116"/>
      <c r="K9" s="116"/>
      <c r="L9" s="116"/>
      <c r="M9" s="110" t="s">
        <v>37</v>
      </c>
      <c r="N9" s="117">
        <v>168</v>
      </c>
      <c r="O9" s="117">
        <v>311</v>
      </c>
      <c r="P9" s="118">
        <f t="shared" si="2"/>
        <v>0.85119047619047616</v>
      </c>
      <c r="Q9" s="117">
        <v>491</v>
      </c>
      <c r="R9" s="119">
        <f t="shared" si="3"/>
        <v>0.5787781350482315</v>
      </c>
      <c r="S9" s="116"/>
    </row>
    <row r="10" spans="1:19" s="100" customFormat="1" ht="27.95" customHeight="1" x14ac:dyDescent="0.25">
      <c r="A10" s="116"/>
      <c r="B10" s="116"/>
      <c r="C10" s="110" t="s">
        <v>38</v>
      </c>
      <c r="D10" s="101">
        <v>401</v>
      </c>
      <c r="E10" s="101">
        <v>1208</v>
      </c>
      <c r="F10" s="102">
        <f t="shared" si="0"/>
        <v>2.0124688279301743</v>
      </c>
      <c r="G10" s="101">
        <v>4844</v>
      </c>
      <c r="H10" s="109">
        <f t="shared" si="1"/>
        <v>3.0099337748344372</v>
      </c>
      <c r="I10" s="116"/>
      <c r="J10" s="116"/>
      <c r="K10" s="116"/>
      <c r="L10" s="116"/>
      <c r="M10" s="110" t="s">
        <v>38</v>
      </c>
      <c r="N10" s="117">
        <v>813</v>
      </c>
      <c r="O10" s="117">
        <v>3338</v>
      </c>
      <c r="P10" s="118">
        <f t="shared" si="2"/>
        <v>3.105781057810578</v>
      </c>
      <c r="Q10" s="117">
        <v>4844</v>
      </c>
      <c r="R10" s="119">
        <f t="shared" si="3"/>
        <v>0.45116836428999402</v>
      </c>
      <c r="S10" s="116"/>
    </row>
    <row r="11" spans="1:19" s="100" customFormat="1" ht="27.95" customHeight="1" x14ac:dyDescent="0.25">
      <c r="A11" s="116"/>
      <c r="B11" s="116"/>
      <c r="C11" s="110" t="s">
        <v>48</v>
      </c>
      <c r="D11" s="101">
        <v>76</v>
      </c>
      <c r="E11" s="101">
        <v>87</v>
      </c>
      <c r="F11" s="102">
        <f t="shared" si="0"/>
        <v>0.14473684210526316</v>
      </c>
      <c r="G11" s="101">
        <v>92</v>
      </c>
      <c r="H11" s="109">
        <f t="shared" si="1"/>
        <v>5.7471264367816091E-2</v>
      </c>
      <c r="I11" s="116"/>
      <c r="J11" s="116"/>
      <c r="K11" s="116"/>
      <c r="L11" s="116"/>
      <c r="M11" s="110" t="s">
        <v>48</v>
      </c>
      <c r="N11" s="117">
        <v>79</v>
      </c>
      <c r="O11" s="117">
        <v>84</v>
      </c>
      <c r="P11" s="118">
        <f t="shared" si="2"/>
        <v>6.3291139240506333E-2</v>
      </c>
      <c r="Q11" s="117">
        <v>92</v>
      </c>
      <c r="R11" s="119">
        <f t="shared" si="3"/>
        <v>9.5238095238095233E-2</v>
      </c>
      <c r="S11" s="116"/>
    </row>
    <row r="12" spans="1:19" s="100" customFormat="1" ht="27.95" customHeight="1" x14ac:dyDescent="0.25">
      <c r="A12" s="116"/>
      <c r="B12" s="116"/>
      <c r="C12" s="110" t="s">
        <v>39</v>
      </c>
      <c r="D12" s="101">
        <v>334</v>
      </c>
      <c r="E12" s="101">
        <v>3559</v>
      </c>
      <c r="F12" s="102">
        <f t="shared" si="0"/>
        <v>9.6556886227544911</v>
      </c>
      <c r="G12" s="101">
        <v>11397</v>
      </c>
      <c r="H12" s="109">
        <f t="shared" si="1"/>
        <v>2.2023040179825792</v>
      </c>
      <c r="I12" s="116"/>
      <c r="J12" s="116"/>
      <c r="K12" s="116"/>
      <c r="L12" s="116"/>
      <c r="M12" s="110" t="s">
        <v>39</v>
      </c>
      <c r="N12" s="117">
        <v>2256</v>
      </c>
      <c r="O12" s="117">
        <v>8418</v>
      </c>
      <c r="P12" s="118">
        <f t="shared" si="2"/>
        <v>2.7313829787234041</v>
      </c>
      <c r="Q12" s="117">
        <v>11397</v>
      </c>
      <c r="R12" s="119">
        <f t="shared" si="3"/>
        <v>0.35388453314326446</v>
      </c>
      <c r="S12" s="116"/>
    </row>
    <row r="13" spans="1:19" s="100" customFormat="1" ht="27.95" customHeight="1" x14ac:dyDescent="0.25">
      <c r="A13" s="116"/>
      <c r="B13" s="116"/>
      <c r="C13" s="110" t="s">
        <v>40</v>
      </c>
      <c r="D13" s="101">
        <v>7</v>
      </c>
      <c r="E13" s="101">
        <v>208</v>
      </c>
      <c r="F13" s="102">
        <f t="shared" si="0"/>
        <v>28.714285714285715</v>
      </c>
      <c r="G13" s="101">
        <v>294</v>
      </c>
      <c r="H13" s="109">
        <f t="shared" si="1"/>
        <v>0.41346153846153844</v>
      </c>
      <c r="I13" s="116"/>
      <c r="J13" s="116"/>
      <c r="K13" s="116"/>
      <c r="L13" s="116"/>
      <c r="M13" s="110" t="s">
        <v>40</v>
      </c>
      <c r="N13" s="117">
        <v>117</v>
      </c>
      <c r="O13" s="117">
        <v>204</v>
      </c>
      <c r="P13" s="118">
        <f t="shared" si="2"/>
        <v>0.74358974358974361</v>
      </c>
      <c r="Q13" s="117">
        <v>294</v>
      </c>
      <c r="R13" s="119">
        <f t="shared" si="3"/>
        <v>0.44117647058823528</v>
      </c>
      <c r="S13" s="116"/>
    </row>
    <row r="14" spans="1:19" s="100" customFormat="1" ht="27.95" customHeight="1" x14ac:dyDescent="0.25">
      <c r="A14" s="116"/>
      <c r="B14" s="116"/>
      <c r="C14" s="110" t="s">
        <v>28</v>
      </c>
      <c r="D14" s="101">
        <v>131</v>
      </c>
      <c r="E14" s="101">
        <v>518</v>
      </c>
      <c r="F14" s="102">
        <f t="shared" si="0"/>
        <v>2.9541984732824429</v>
      </c>
      <c r="G14" s="101">
        <v>2503</v>
      </c>
      <c r="H14" s="109">
        <f t="shared" si="1"/>
        <v>3.8320463320463318</v>
      </c>
      <c r="I14" s="116"/>
      <c r="J14" s="116"/>
      <c r="K14" s="116"/>
      <c r="L14" s="116"/>
      <c r="M14" s="110" t="s">
        <v>28</v>
      </c>
      <c r="N14" s="117">
        <v>337</v>
      </c>
      <c r="O14" s="117">
        <v>1588</v>
      </c>
      <c r="P14" s="118">
        <f t="shared" si="2"/>
        <v>3.7121661721068251</v>
      </c>
      <c r="Q14" s="117">
        <v>2503</v>
      </c>
      <c r="R14" s="119">
        <f t="shared" si="3"/>
        <v>0.57619647355163728</v>
      </c>
      <c r="S14" s="116"/>
    </row>
    <row r="15" spans="1:19" s="100" customFormat="1" ht="27.95" customHeight="1" x14ac:dyDescent="0.25">
      <c r="A15" s="116"/>
      <c r="B15" s="116"/>
      <c r="C15" s="110" t="s">
        <v>24</v>
      </c>
      <c r="D15" s="101">
        <v>263</v>
      </c>
      <c r="E15" s="101">
        <v>2240</v>
      </c>
      <c r="F15" s="102">
        <f t="shared" si="0"/>
        <v>7.5171102661596958</v>
      </c>
      <c r="G15" s="101">
        <v>12365</v>
      </c>
      <c r="H15" s="109">
        <f t="shared" si="1"/>
        <v>4.5200892857142856</v>
      </c>
      <c r="I15" s="116"/>
      <c r="J15" s="116"/>
      <c r="K15" s="116"/>
      <c r="L15" s="116"/>
      <c r="M15" s="110" t="s">
        <v>24</v>
      </c>
      <c r="N15" s="117">
        <v>1215</v>
      </c>
      <c r="O15" s="117">
        <v>6830</v>
      </c>
      <c r="P15" s="118">
        <f t="shared" si="2"/>
        <v>4.6213991769547329</v>
      </c>
      <c r="Q15" s="117">
        <v>12365</v>
      </c>
      <c r="R15" s="119">
        <f>(Q15-O15)/O15</f>
        <v>0.81039531478770133</v>
      </c>
      <c r="S15" s="116"/>
    </row>
    <row r="16" spans="1:19" s="100" customFormat="1" ht="27.95" customHeight="1" x14ac:dyDescent="0.25">
      <c r="A16" s="116"/>
      <c r="B16" s="116"/>
      <c r="C16" s="110" t="s">
        <v>30</v>
      </c>
      <c r="D16" s="101">
        <v>49</v>
      </c>
      <c r="E16" s="101">
        <v>61</v>
      </c>
      <c r="F16" s="102">
        <f t="shared" si="0"/>
        <v>0.24489795918367346</v>
      </c>
      <c r="G16" s="101">
        <v>65</v>
      </c>
      <c r="H16" s="109">
        <f t="shared" si="1"/>
        <v>6.5573770491803282E-2</v>
      </c>
      <c r="I16" s="116"/>
      <c r="J16" s="116"/>
      <c r="K16" s="116"/>
      <c r="L16" s="116"/>
      <c r="M16" s="110" t="s">
        <v>30</v>
      </c>
      <c r="N16" s="117">
        <v>51</v>
      </c>
      <c r="O16" s="117">
        <v>62</v>
      </c>
      <c r="P16" s="118">
        <f t="shared" si="2"/>
        <v>0.21568627450980393</v>
      </c>
      <c r="Q16" s="117">
        <v>65</v>
      </c>
      <c r="R16" s="119">
        <f t="shared" si="3"/>
        <v>4.8387096774193547E-2</v>
      </c>
      <c r="S16" s="116"/>
    </row>
    <row r="17" spans="1:19" s="100" customFormat="1" ht="27.95" customHeight="1" x14ac:dyDescent="0.25">
      <c r="A17" s="116"/>
      <c r="B17" s="116"/>
      <c r="C17" s="110" t="s">
        <v>26</v>
      </c>
      <c r="D17" s="101">
        <v>654</v>
      </c>
      <c r="E17" s="101">
        <v>1483</v>
      </c>
      <c r="F17" s="102">
        <f t="shared" si="0"/>
        <v>1.2675840978593271</v>
      </c>
      <c r="G17" s="101">
        <v>4298</v>
      </c>
      <c r="H17" s="109">
        <f t="shared" si="1"/>
        <v>1.8981793661496966</v>
      </c>
      <c r="I17" s="116"/>
      <c r="J17" s="116"/>
      <c r="K17" s="116"/>
      <c r="L17" s="116"/>
      <c r="M17" s="110" t="s">
        <v>26</v>
      </c>
      <c r="N17" s="117">
        <v>1187</v>
      </c>
      <c r="O17" s="117">
        <v>3036</v>
      </c>
      <c r="P17" s="118">
        <f t="shared" si="2"/>
        <v>1.5577085088458298</v>
      </c>
      <c r="Q17" s="117">
        <v>4298</v>
      </c>
      <c r="R17" s="119">
        <f t="shared" si="3"/>
        <v>0.41567852437417657</v>
      </c>
      <c r="S17" s="116"/>
    </row>
    <row r="18" spans="1:19" s="100" customFormat="1" ht="27.95" customHeight="1" x14ac:dyDescent="0.25">
      <c r="A18" s="116"/>
      <c r="B18" s="116"/>
      <c r="C18" s="110" t="s">
        <v>25</v>
      </c>
      <c r="D18" s="101">
        <v>1057</v>
      </c>
      <c r="E18" s="101">
        <v>3008</v>
      </c>
      <c r="F18" s="102">
        <f t="shared" si="0"/>
        <v>1.8457899716177861</v>
      </c>
      <c r="G18" s="101">
        <v>8042</v>
      </c>
      <c r="H18" s="109">
        <f t="shared" si="1"/>
        <v>1.6735372340425532</v>
      </c>
      <c r="I18" s="116"/>
      <c r="J18" s="116"/>
      <c r="K18" s="116"/>
      <c r="L18" s="116"/>
      <c r="M18" s="110" t="s">
        <v>25</v>
      </c>
      <c r="N18" s="117">
        <v>1947</v>
      </c>
      <c r="O18" s="117">
        <v>5996</v>
      </c>
      <c r="P18" s="118">
        <f t="shared" si="2"/>
        <v>2.0796096558808421</v>
      </c>
      <c r="Q18" s="117">
        <v>8042</v>
      </c>
      <c r="R18" s="119">
        <f t="shared" si="3"/>
        <v>0.34122748498999333</v>
      </c>
      <c r="S18" s="116"/>
    </row>
    <row r="19" spans="1:19" s="100" customFormat="1" ht="27.95" customHeight="1" x14ac:dyDescent="0.25">
      <c r="A19" s="116"/>
      <c r="B19" s="116"/>
      <c r="C19" s="110" t="s">
        <v>41</v>
      </c>
      <c r="D19" s="101">
        <v>86</v>
      </c>
      <c r="E19" s="101">
        <v>611</v>
      </c>
      <c r="F19" s="102">
        <f t="shared" si="0"/>
        <v>6.1046511627906979</v>
      </c>
      <c r="G19" s="101">
        <v>5837</v>
      </c>
      <c r="H19" s="109">
        <f t="shared" si="1"/>
        <v>8.5531914893617014</v>
      </c>
      <c r="I19" s="116"/>
      <c r="J19" s="116"/>
      <c r="K19" s="116"/>
      <c r="L19" s="116"/>
      <c r="M19" s="110" t="s">
        <v>41</v>
      </c>
      <c r="N19" s="117">
        <v>259</v>
      </c>
      <c r="O19" s="117">
        <v>3320</v>
      </c>
      <c r="P19" s="118">
        <f t="shared" si="2"/>
        <v>11.818532818532818</v>
      </c>
      <c r="Q19" s="117">
        <v>5837</v>
      </c>
      <c r="R19" s="119">
        <f t="shared" si="3"/>
        <v>0.75813253012048187</v>
      </c>
      <c r="S19" s="116"/>
    </row>
    <row r="20" spans="1:19" s="100" customFormat="1" ht="27.95" customHeight="1" x14ac:dyDescent="0.25">
      <c r="A20" s="116"/>
      <c r="B20" s="116"/>
      <c r="C20" s="110" t="s">
        <v>42</v>
      </c>
      <c r="D20" s="101">
        <v>9</v>
      </c>
      <c r="E20" s="101">
        <v>22</v>
      </c>
      <c r="F20" s="102">
        <f t="shared" si="0"/>
        <v>1.4444444444444444</v>
      </c>
      <c r="G20" s="101">
        <v>385</v>
      </c>
      <c r="H20" s="109">
        <f t="shared" si="1"/>
        <v>16.5</v>
      </c>
      <c r="I20" s="116"/>
      <c r="J20" s="116"/>
      <c r="K20" s="116"/>
      <c r="L20" s="116"/>
      <c r="M20" s="110" t="s">
        <v>42</v>
      </c>
      <c r="N20" s="117">
        <v>20</v>
      </c>
      <c r="O20" s="117">
        <v>223</v>
      </c>
      <c r="P20" s="118">
        <f t="shared" si="2"/>
        <v>10.15</v>
      </c>
      <c r="Q20" s="117">
        <v>385</v>
      </c>
      <c r="R20" s="119">
        <f t="shared" si="3"/>
        <v>0.726457399103139</v>
      </c>
      <c r="S20" s="116"/>
    </row>
    <row r="21" spans="1:19" s="100" customFormat="1" ht="27.95" customHeight="1" x14ac:dyDescent="0.25">
      <c r="A21" s="116"/>
      <c r="B21" s="116"/>
      <c r="C21" s="110" t="s">
        <v>43</v>
      </c>
      <c r="D21" s="101">
        <v>12</v>
      </c>
      <c r="E21" s="101">
        <v>31</v>
      </c>
      <c r="F21" s="102">
        <f t="shared" si="0"/>
        <v>1.5833333333333333</v>
      </c>
      <c r="G21" s="101">
        <v>356</v>
      </c>
      <c r="H21" s="109">
        <f t="shared" si="1"/>
        <v>10.483870967741936</v>
      </c>
      <c r="I21" s="116"/>
      <c r="J21" s="116"/>
      <c r="K21" s="116"/>
      <c r="L21" s="116"/>
      <c r="M21" s="110" t="s">
        <v>43</v>
      </c>
      <c r="N21" s="117">
        <v>26</v>
      </c>
      <c r="O21" s="117">
        <v>147</v>
      </c>
      <c r="P21" s="118">
        <f t="shared" si="2"/>
        <v>4.6538461538461542</v>
      </c>
      <c r="Q21" s="117">
        <v>356</v>
      </c>
      <c r="R21" s="119">
        <f t="shared" si="3"/>
        <v>1.4217687074829932</v>
      </c>
      <c r="S21" s="116"/>
    </row>
    <row r="22" spans="1:19" s="100" customFormat="1" ht="27.95" customHeight="1" x14ac:dyDescent="0.25">
      <c r="A22" s="116"/>
      <c r="B22" s="116"/>
      <c r="C22" s="110" t="s">
        <v>44</v>
      </c>
      <c r="D22" s="101">
        <v>60</v>
      </c>
      <c r="E22" s="101">
        <v>805</v>
      </c>
      <c r="F22" s="102">
        <f t="shared" si="0"/>
        <v>12.416666666666666</v>
      </c>
      <c r="G22" s="101">
        <v>2626</v>
      </c>
      <c r="H22" s="109">
        <f t="shared" si="1"/>
        <v>2.2621118012422361</v>
      </c>
      <c r="I22" s="116"/>
      <c r="J22" s="116"/>
      <c r="K22" s="116"/>
      <c r="L22" s="116"/>
      <c r="M22" s="110" t="s">
        <v>44</v>
      </c>
      <c r="N22" s="117">
        <v>454</v>
      </c>
      <c r="O22" s="117">
        <v>1771</v>
      </c>
      <c r="P22" s="118">
        <f t="shared" si="2"/>
        <v>2.9008810572687223</v>
      </c>
      <c r="Q22" s="117">
        <v>2626</v>
      </c>
      <c r="R22" s="119">
        <f t="shared" si="3"/>
        <v>0.48277809147374362</v>
      </c>
      <c r="S22" s="116"/>
    </row>
    <row r="23" spans="1:19" s="100" customFormat="1" ht="27.95" customHeight="1" x14ac:dyDescent="0.25">
      <c r="A23" s="116"/>
      <c r="B23" s="116"/>
      <c r="C23" s="110" t="s">
        <v>29</v>
      </c>
      <c r="D23" s="101">
        <v>486</v>
      </c>
      <c r="E23" s="101">
        <v>2276</v>
      </c>
      <c r="F23" s="102">
        <f t="shared" si="0"/>
        <v>3.6831275720164611</v>
      </c>
      <c r="G23" s="101">
        <v>15743</v>
      </c>
      <c r="H23" s="109">
        <f t="shared" si="1"/>
        <v>5.9169595782073809</v>
      </c>
      <c r="I23" s="116"/>
      <c r="J23" s="116"/>
      <c r="K23" s="116"/>
      <c r="L23" s="116"/>
      <c r="M23" s="110" t="s">
        <v>29</v>
      </c>
      <c r="N23" s="117">
        <v>1216</v>
      </c>
      <c r="O23" s="117">
        <v>7905</v>
      </c>
      <c r="P23" s="118">
        <f t="shared" si="2"/>
        <v>5.5008223684210522</v>
      </c>
      <c r="Q23" s="117">
        <v>15743</v>
      </c>
      <c r="R23" s="119">
        <f t="shared" si="3"/>
        <v>0.99152435167615438</v>
      </c>
      <c r="S23" s="116"/>
    </row>
    <row r="24" spans="1:19" s="100" customFormat="1" ht="27.95" customHeight="1" x14ac:dyDescent="0.25">
      <c r="A24" s="116"/>
      <c r="B24" s="116"/>
      <c r="C24" s="110" t="s">
        <v>142</v>
      </c>
      <c r="D24" s="101">
        <v>36</v>
      </c>
      <c r="E24" s="101">
        <v>138</v>
      </c>
      <c r="F24" s="102">
        <f t="shared" si="0"/>
        <v>2.8333333333333335</v>
      </c>
      <c r="G24" s="101">
        <v>1558</v>
      </c>
      <c r="H24" s="109">
        <f t="shared" si="1"/>
        <v>10.289855072463768</v>
      </c>
      <c r="I24" s="116"/>
      <c r="J24" s="116"/>
      <c r="K24" s="116"/>
      <c r="L24" s="116"/>
      <c r="M24" s="110" t="s">
        <v>142</v>
      </c>
      <c r="N24" s="117">
        <v>44</v>
      </c>
      <c r="O24" s="117">
        <v>938</v>
      </c>
      <c r="P24" s="118">
        <f t="shared" si="2"/>
        <v>20.318181818181817</v>
      </c>
      <c r="Q24" s="117">
        <v>1558</v>
      </c>
      <c r="R24" s="119">
        <f t="shared" si="3"/>
        <v>0.66098081023454158</v>
      </c>
      <c r="S24" s="116"/>
    </row>
    <row r="25" spans="1:19" s="100" customFormat="1" ht="27.95" customHeight="1" x14ac:dyDescent="0.25">
      <c r="A25" s="116"/>
      <c r="B25" s="116"/>
      <c r="C25" s="110" t="s">
        <v>46</v>
      </c>
      <c r="D25" s="101">
        <v>155</v>
      </c>
      <c r="E25" s="101">
        <v>1055</v>
      </c>
      <c r="F25" s="102">
        <f t="shared" si="0"/>
        <v>5.806451612903226</v>
      </c>
      <c r="G25" s="101">
        <v>2592</v>
      </c>
      <c r="H25" s="109">
        <f t="shared" si="1"/>
        <v>1.456872037914692</v>
      </c>
      <c r="I25" s="116"/>
      <c r="J25" s="116"/>
      <c r="K25" s="116"/>
      <c r="L25" s="116"/>
      <c r="M25" s="110" t="s">
        <v>46</v>
      </c>
      <c r="N25" s="117">
        <v>457</v>
      </c>
      <c r="O25" s="117">
        <v>2020</v>
      </c>
      <c r="P25" s="118">
        <f t="shared" si="2"/>
        <v>3.4201312910284463</v>
      </c>
      <c r="Q25" s="117">
        <v>2592</v>
      </c>
      <c r="R25" s="119">
        <f t="shared" si="3"/>
        <v>0.28316831683168314</v>
      </c>
      <c r="S25" s="116"/>
    </row>
    <row r="26" spans="1:19" s="100" customFormat="1" ht="27.95" customHeight="1" thickBot="1" x14ac:dyDescent="0.3">
      <c r="A26" s="116"/>
      <c r="B26" s="116"/>
      <c r="C26" s="111" t="s">
        <v>47</v>
      </c>
      <c r="D26" s="114">
        <v>91</v>
      </c>
      <c r="E26" s="114">
        <v>426</v>
      </c>
      <c r="F26" s="112">
        <f t="shared" si="0"/>
        <v>3.6813186813186811</v>
      </c>
      <c r="G26" s="114">
        <v>5419</v>
      </c>
      <c r="H26" s="113">
        <f t="shared" si="1"/>
        <v>11.720657276995306</v>
      </c>
      <c r="I26" s="116"/>
      <c r="J26" s="116"/>
      <c r="K26" s="116"/>
      <c r="L26" s="116"/>
      <c r="M26" s="111" t="s">
        <v>47</v>
      </c>
      <c r="N26" s="120">
        <v>204</v>
      </c>
      <c r="O26" s="120">
        <v>2243</v>
      </c>
      <c r="P26" s="121">
        <f t="shared" si="2"/>
        <v>9.9950980392156854</v>
      </c>
      <c r="Q26" s="120">
        <v>5419</v>
      </c>
      <c r="R26" s="122">
        <f t="shared" si="3"/>
        <v>1.4159607668301382</v>
      </c>
      <c r="S26" s="116"/>
    </row>
    <row r="27" spans="1:19" s="115" customFormat="1" x14ac:dyDescent="0.25">
      <c r="D27" s="116"/>
      <c r="E27" s="116"/>
      <c r="F27" s="116"/>
      <c r="G27" s="116"/>
      <c r="H27" s="116"/>
      <c r="N27" s="116"/>
      <c r="O27" s="116"/>
      <c r="P27" s="116"/>
      <c r="Q27" s="116"/>
      <c r="R27" s="116"/>
    </row>
    <row r="28" spans="1:19" s="115" customFormat="1" x14ac:dyDescent="0.25">
      <c r="D28" s="116"/>
      <c r="E28" s="116"/>
      <c r="F28" s="116"/>
      <c r="G28" s="116"/>
      <c r="H28" s="116"/>
      <c r="N28" s="116"/>
      <c r="O28" s="116"/>
      <c r="P28" s="116"/>
      <c r="Q28" s="116"/>
      <c r="R28" s="116"/>
    </row>
    <row r="29" spans="1:19" s="115" customFormat="1" x14ac:dyDescent="0.25">
      <c r="D29" s="116"/>
      <c r="E29" s="116"/>
      <c r="F29" s="116"/>
      <c r="G29" s="116"/>
      <c r="H29" s="116"/>
      <c r="N29" s="116"/>
      <c r="O29" s="116"/>
      <c r="P29" s="116"/>
      <c r="Q29" s="116"/>
      <c r="R29" s="116"/>
    </row>
    <row r="30" spans="1:19" s="115" customFormat="1" x14ac:dyDescent="0.25">
      <c r="D30" s="116"/>
      <c r="E30" s="116"/>
      <c r="F30" s="116"/>
      <c r="G30" s="116"/>
      <c r="H30" s="116"/>
      <c r="N30" s="116"/>
      <c r="O30" s="116"/>
      <c r="P30" s="116"/>
      <c r="Q30" s="116"/>
      <c r="R30" s="116"/>
    </row>
    <row r="31" spans="1:19" s="115" customFormat="1" x14ac:dyDescent="0.25">
      <c r="D31" s="116"/>
      <c r="E31" s="116"/>
      <c r="F31" s="116"/>
      <c r="G31" s="116"/>
      <c r="H31" s="116"/>
      <c r="N31" s="116"/>
      <c r="O31" s="116"/>
      <c r="P31" s="116"/>
      <c r="Q31" s="116"/>
      <c r="R31" s="116"/>
    </row>
    <row r="32" spans="1:19" s="115" customFormat="1" x14ac:dyDescent="0.25">
      <c r="D32" s="116"/>
      <c r="E32" s="116"/>
      <c r="F32" s="116"/>
      <c r="G32" s="116"/>
      <c r="H32" s="116"/>
    </row>
    <row r="33" spans="4:8" s="115" customFormat="1" x14ac:dyDescent="0.25">
      <c r="D33" s="116"/>
      <c r="E33" s="116"/>
      <c r="F33" s="116"/>
      <c r="G33" s="116"/>
      <c r="H33" s="116"/>
    </row>
    <row r="34" spans="4:8" s="115" customFormat="1" x14ac:dyDescent="0.25">
      <c r="D34" s="116"/>
      <c r="E34" s="116"/>
      <c r="F34" s="116"/>
      <c r="G34" s="116"/>
      <c r="H34" s="116"/>
    </row>
    <row r="35" spans="4:8" s="115" customFormat="1" x14ac:dyDescent="0.25">
      <c r="D35" s="116"/>
      <c r="E35" s="116"/>
      <c r="F35" s="116"/>
      <c r="G35" s="116"/>
      <c r="H35" s="116"/>
    </row>
    <row r="36" spans="4:8" s="115" customFormat="1" x14ac:dyDescent="0.25">
      <c r="D36" s="116"/>
      <c r="E36" s="116"/>
      <c r="F36" s="116"/>
      <c r="G36" s="116"/>
      <c r="H36" s="116"/>
    </row>
    <row r="37" spans="4:8" s="115" customFormat="1" x14ac:dyDescent="0.25">
      <c r="D37" s="116"/>
      <c r="E37" s="116"/>
      <c r="F37" s="116"/>
      <c r="G37" s="116"/>
      <c r="H37" s="116"/>
    </row>
    <row r="38" spans="4:8" s="115" customFormat="1" x14ac:dyDescent="0.25">
      <c r="D38" s="116"/>
      <c r="E38" s="116"/>
      <c r="F38" s="116"/>
      <c r="G38" s="116"/>
      <c r="H38" s="116"/>
    </row>
    <row r="39" spans="4:8" s="115" customFormat="1" x14ac:dyDescent="0.25">
      <c r="D39" s="116"/>
      <c r="E39" s="116"/>
      <c r="F39" s="116"/>
      <c r="G39" s="116"/>
      <c r="H39" s="116"/>
    </row>
    <row r="40" spans="4:8" s="115" customFormat="1" x14ac:dyDescent="0.25">
      <c r="D40" s="116"/>
      <c r="E40" s="116"/>
      <c r="F40" s="116"/>
      <c r="G40" s="116"/>
      <c r="H40" s="116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77" t="s">
        <v>31</v>
      </c>
      <c r="I1" s="88" t="s">
        <v>137</v>
      </c>
      <c r="J1" s="88" t="s">
        <v>138</v>
      </c>
      <c r="K1" s="90" t="s">
        <v>18</v>
      </c>
      <c r="L1" s="91" t="s">
        <v>139</v>
      </c>
      <c r="M1" s="91" t="s">
        <v>111</v>
      </c>
      <c r="N1" s="91" t="s">
        <v>112</v>
      </c>
      <c r="O1" s="78" t="s">
        <v>140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1" t="s">
        <v>51</v>
      </c>
      <c r="I2" s="89">
        <v>3075646</v>
      </c>
      <c r="J2" s="88">
        <v>200</v>
      </c>
      <c r="K2" s="92" t="s">
        <v>20</v>
      </c>
      <c r="L2" s="93">
        <v>96988</v>
      </c>
      <c r="M2" s="93">
        <v>2252</v>
      </c>
      <c r="N2" s="93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1" t="s">
        <v>22</v>
      </c>
      <c r="I3" s="89">
        <v>17541141</v>
      </c>
      <c r="J3" s="88">
        <v>307571</v>
      </c>
      <c r="K3" s="92" t="s">
        <v>22</v>
      </c>
      <c r="L3" s="93">
        <v>264956</v>
      </c>
      <c r="M3" s="93">
        <v>5395</v>
      </c>
      <c r="N3" s="93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1" t="s">
        <v>39</v>
      </c>
      <c r="I4" s="89">
        <v>770881</v>
      </c>
      <c r="J4" s="88">
        <v>53219</v>
      </c>
      <c r="K4" s="92" t="s">
        <v>39</v>
      </c>
      <c r="L4" s="93">
        <v>8532</v>
      </c>
      <c r="M4" s="94">
        <v>228</v>
      </c>
      <c r="N4" s="93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1" t="s">
        <v>25</v>
      </c>
      <c r="I5" s="89">
        <v>747610</v>
      </c>
      <c r="J5" s="88">
        <v>203013</v>
      </c>
      <c r="K5" s="92" t="s">
        <v>25</v>
      </c>
      <c r="L5" s="93">
        <v>6175</v>
      </c>
      <c r="M5" s="94">
        <v>177</v>
      </c>
      <c r="N5" s="93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1" t="s">
        <v>21</v>
      </c>
      <c r="I6" s="89">
        <v>1204541</v>
      </c>
      <c r="J6" s="88">
        <v>99633</v>
      </c>
      <c r="K6" s="92" t="s">
        <v>21</v>
      </c>
      <c r="L6" s="93">
        <v>5492</v>
      </c>
      <c r="M6" s="94">
        <v>215</v>
      </c>
      <c r="N6" s="93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1" t="s">
        <v>46</v>
      </c>
      <c r="I7" s="89">
        <v>176830</v>
      </c>
      <c r="J7" s="88">
        <v>21571</v>
      </c>
      <c r="K7" s="92" t="s">
        <v>46</v>
      </c>
      <c r="L7" s="93">
        <v>2101</v>
      </c>
      <c r="M7" s="94">
        <v>29</v>
      </c>
      <c r="N7" s="94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1" t="s">
        <v>28</v>
      </c>
      <c r="I8" s="89">
        <v>393531</v>
      </c>
      <c r="J8" s="88">
        <v>89680</v>
      </c>
      <c r="K8" s="92" t="s">
        <v>28</v>
      </c>
      <c r="L8" s="93">
        <v>1627</v>
      </c>
      <c r="M8" s="94">
        <v>59</v>
      </c>
      <c r="N8" s="94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1" t="s">
        <v>26</v>
      </c>
      <c r="I9" s="89">
        <v>664057</v>
      </c>
      <c r="J9" s="88">
        <v>94078</v>
      </c>
      <c r="K9" s="92" t="s">
        <v>26</v>
      </c>
      <c r="L9" s="93">
        <v>3163</v>
      </c>
      <c r="M9" s="94">
        <v>55</v>
      </c>
      <c r="N9" s="93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1" t="s">
        <v>24</v>
      </c>
      <c r="I10" s="89">
        <v>1990338</v>
      </c>
      <c r="J10" s="88">
        <v>148827</v>
      </c>
      <c r="K10" s="92" t="s">
        <v>24</v>
      </c>
      <c r="L10" s="93">
        <v>7187</v>
      </c>
      <c r="M10" s="94">
        <v>131</v>
      </c>
      <c r="N10" s="93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1" t="s">
        <v>44</v>
      </c>
      <c r="I11" s="89">
        <v>365698</v>
      </c>
      <c r="J11" s="88">
        <v>243943</v>
      </c>
      <c r="K11" s="92" t="s">
        <v>44</v>
      </c>
      <c r="L11" s="93">
        <v>1805</v>
      </c>
      <c r="M11" s="94">
        <v>15</v>
      </c>
      <c r="N11" s="94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1" t="s">
        <v>38</v>
      </c>
      <c r="I12" s="89">
        <v>1385961</v>
      </c>
      <c r="J12" s="88">
        <v>78781</v>
      </c>
      <c r="K12" s="92" t="s">
        <v>38</v>
      </c>
      <c r="L12" s="93">
        <v>3649</v>
      </c>
      <c r="M12" s="94">
        <v>49</v>
      </c>
      <c r="N12" s="93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1" t="s">
        <v>27</v>
      </c>
      <c r="I13" s="89">
        <v>3760450</v>
      </c>
      <c r="J13" s="88">
        <v>165321</v>
      </c>
      <c r="K13" s="92" t="s">
        <v>27</v>
      </c>
      <c r="L13" s="93">
        <v>8917</v>
      </c>
      <c r="M13" s="94">
        <v>126</v>
      </c>
      <c r="N13" s="93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133</v>
      </c>
      <c r="F14">
        <v>1612</v>
      </c>
      <c r="G14">
        <f>AVERAGE(F8:F14)</f>
        <v>1575.2857142857142</v>
      </c>
      <c r="H14" s="81" t="s">
        <v>41</v>
      </c>
      <c r="I14" s="89">
        <v>1424397</v>
      </c>
      <c r="J14" s="88">
        <v>155488</v>
      </c>
      <c r="K14" s="92" t="s">
        <v>41</v>
      </c>
      <c r="L14" s="93">
        <v>3510</v>
      </c>
      <c r="M14" s="94">
        <v>47</v>
      </c>
      <c r="N14" s="93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1" t="s">
        <v>29</v>
      </c>
      <c r="I15" s="89">
        <v>3536418</v>
      </c>
      <c r="J15" s="88">
        <v>133007</v>
      </c>
      <c r="K15" s="92" t="s">
        <v>29</v>
      </c>
      <c r="L15" s="93">
        <v>8582</v>
      </c>
      <c r="M15" s="94">
        <v>95</v>
      </c>
      <c r="N15" s="93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1" t="s">
        <v>45</v>
      </c>
      <c r="I16" s="89">
        <v>978313</v>
      </c>
      <c r="J16" s="88">
        <v>136351</v>
      </c>
      <c r="K16" s="92" t="s">
        <v>45</v>
      </c>
      <c r="L16" s="94">
        <v>975</v>
      </c>
      <c r="M16" s="94">
        <v>13</v>
      </c>
      <c r="N16" s="94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1" t="s">
        <v>36</v>
      </c>
      <c r="I17" s="89">
        <v>618994</v>
      </c>
      <c r="J17" s="88">
        <v>224686</v>
      </c>
      <c r="K17" s="92" t="s">
        <v>36</v>
      </c>
      <c r="L17" s="94">
        <v>956</v>
      </c>
      <c r="M17" s="94">
        <v>7</v>
      </c>
      <c r="N17" s="94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1" t="s">
        <v>47</v>
      </c>
      <c r="I18" s="89">
        <v>1694656</v>
      </c>
      <c r="J18" s="88">
        <v>22524</v>
      </c>
      <c r="K18" s="92" t="s">
        <v>47</v>
      </c>
      <c r="L18" s="93">
        <v>2485</v>
      </c>
      <c r="M18" s="94">
        <v>14</v>
      </c>
      <c r="N18" s="93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1" t="s">
        <v>40</v>
      </c>
      <c r="I19" s="89">
        <v>358428</v>
      </c>
      <c r="J19" s="88">
        <v>143440</v>
      </c>
      <c r="K19" s="92" t="s">
        <v>40</v>
      </c>
      <c r="L19" s="94">
        <v>240</v>
      </c>
      <c r="M19" s="94">
        <v>2</v>
      </c>
      <c r="N19" s="94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1" t="s">
        <v>37</v>
      </c>
      <c r="I20" s="89">
        <v>1120801</v>
      </c>
      <c r="J20" s="88">
        <v>88199</v>
      </c>
      <c r="K20" s="92" t="s">
        <v>37</v>
      </c>
      <c r="L20" s="94">
        <v>315</v>
      </c>
      <c r="M20" s="94">
        <v>5</v>
      </c>
      <c r="N20" s="94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1" t="s">
        <v>48</v>
      </c>
      <c r="I21" s="89">
        <v>605193</v>
      </c>
      <c r="J21" s="88">
        <v>72066</v>
      </c>
      <c r="K21" s="92" t="s">
        <v>48</v>
      </c>
      <c r="L21" s="94">
        <v>86</v>
      </c>
      <c r="M21" s="94">
        <v>1</v>
      </c>
      <c r="N21" s="94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1" t="s">
        <v>30</v>
      </c>
      <c r="I22" s="89">
        <v>1261294</v>
      </c>
      <c r="J22" s="88">
        <v>29801</v>
      </c>
      <c r="K22" s="92" t="s">
        <v>30</v>
      </c>
      <c r="L22" s="94">
        <v>74</v>
      </c>
      <c r="M22" s="94">
        <v>2</v>
      </c>
      <c r="N22" s="94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1" t="s">
        <v>42</v>
      </c>
      <c r="I23" s="89">
        <v>781217</v>
      </c>
      <c r="J23" s="88">
        <v>89651</v>
      </c>
      <c r="K23" s="92" t="s">
        <v>42</v>
      </c>
      <c r="L23" s="94">
        <v>223</v>
      </c>
      <c r="M23" s="94">
        <v>1</v>
      </c>
      <c r="N23" s="94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1" t="s">
        <v>35</v>
      </c>
      <c r="I24" s="89">
        <v>415438</v>
      </c>
      <c r="J24" s="88">
        <v>102602</v>
      </c>
      <c r="K24" s="92" t="s">
        <v>35</v>
      </c>
      <c r="L24" s="94">
        <v>67</v>
      </c>
      <c r="M24" s="94">
        <v>0</v>
      </c>
      <c r="N24" s="94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1" t="s">
        <v>43</v>
      </c>
      <c r="I25" s="89">
        <v>508328</v>
      </c>
      <c r="J25" s="88">
        <v>76748</v>
      </c>
      <c r="K25" s="92" t="s">
        <v>43</v>
      </c>
      <c r="L25" s="94">
        <v>156</v>
      </c>
      <c r="M25" s="94">
        <v>0</v>
      </c>
      <c r="N25" s="94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argentina_gral</vt:lpstr>
      <vt:lpstr>casos_provincias</vt:lpstr>
      <vt:lpstr>Hoja4</vt:lpstr>
      <vt:lpstr>Hoja5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2020-11-06T23:01:58Z</dcterms:modified>
</cp:coreProperties>
</file>